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fileSharing readOnlyRecommended="1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LU PRODUCTION\-STEPHANE DEMARET\CLOTURE PAM\PAM\CALCULETTE PAM\"/>
    </mc:Choice>
  </mc:AlternateContent>
  <xr:revisionPtr revIDLastSave="0" documentId="8_{D46D6CF4-AA36-48B8-9B66-292AE2849A0B}" xr6:coauthVersionLast="47" xr6:coauthVersionMax="47" xr10:uidLastSave="{00000000-0000-0000-0000-000000000000}"/>
  <bookViews>
    <workbookView xWindow="-120" yWindow="-120" windowWidth="29040" windowHeight="15720" tabRatio="898" firstSheet="2" activeTab="2" xr2:uid="{00000000-000D-0000-FFFF-FFFF00000000}"/>
  </bookViews>
  <sheets>
    <sheet name="Trame" sheetId="38" state="hidden" r:id="rId1"/>
    <sheet name="ALU OUV 160x28" sheetId="72" state="hidden" r:id="rId2"/>
    <sheet name="CALCULETTE" sheetId="82" r:id="rId3"/>
    <sheet name="VISUEL" sheetId="85" r:id="rId4"/>
    <sheet name="DESCRIPTIF" sheetId="84" r:id="rId5"/>
    <sheet name="TARIF 2024" sheetId="83" r:id="rId6"/>
  </sheets>
  <definedNames>
    <definedName name="Entraxe_derniers_poteaux">CALCULETTE!$M$35</definedName>
    <definedName name="Entraxe_lames_choisi">CALCULETTE!$H$29</definedName>
    <definedName name="Entraxe_Lames_Cl_Ajourée">CALCULETTE!$C$6</definedName>
    <definedName name="Entraxe_Lames_sans_Ajour">CALCULETTE!$C$7</definedName>
    <definedName name="Entraxe_MAXI_calculé">CALCULETTE!$M$27</definedName>
    <definedName name="Ep_Platine">CALCULETTE!$C$8</definedName>
    <definedName name="Hauteur_posée_souhaitée">CALCULETTE!$C$16</definedName>
    <definedName name="Ht_Lame">CALCULETTE!$C$5</definedName>
    <definedName name="Ht_posée_calculée">CALCULETTE!$C$29</definedName>
    <definedName name="Ht_SOUB">CALCULETTE!$C$12</definedName>
    <definedName name="jeu_bas_choisi">CALCULETTE!$H$28</definedName>
    <definedName name="Jeu_Bas_Scellé">CALCULETTE!$C$14</definedName>
    <definedName name="Jeu_bas_sur_Platine">CALCULETTE!$C$13</definedName>
    <definedName name="Jeu_Haut">CALCULETTE!$C$15</definedName>
    <definedName name="Lg_Lame_derniere_Trame">CALCULETTE!$M$36</definedName>
    <definedName name="Lg_Lame_posée">CALCULETTE!$C$28</definedName>
    <definedName name="Lg_Poteau_HT">CALCULETTE!$C$21</definedName>
    <definedName name="Lg_Poteau_posé">CALCULETTE!$C$30</definedName>
    <definedName name="Longueur_Cloture">CALCULETTE!$C$18</definedName>
    <definedName name="Longueur_Lame">CALCULETTE!$C$4</definedName>
    <definedName name="Longueur_Trame_choisie">CALCULETTE!$M$29</definedName>
    <definedName name="longueur_trame_homogène">CALCULETTE!$C$27</definedName>
    <definedName name="Longueur_Trame_manuelle">CALCULETTE!$C$20</definedName>
    <definedName name="Nbre_Trames">CALCULETTE!$C$33</definedName>
    <definedName name="Nbre_Trames_Homogènes">CALCULETTE!$M$28</definedName>
    <definedName name="option_Tole">CALCULETTE!$C$22</definedName>
    <definedName name="Pas_de_lame">CALCULETTE!$H$27</definedName>
    <definedName name="Prix_Closoirs">'TARIF 2024'!$C$10:$D$11</definedName>
    <definedName name="Prix_Embout">'TARIF 2024'!$D$13</definedName>
    <definedName name="Prix_Entretoise">'TARIF 2024'!$D$5</definedName>
    <definedName name="Prix_Lame">'TARIF 2024'!$D$3</definedName>
    <definedName name="Prix_Platine">'TARIF 2024'!$D$14</definedName>
    <definedName name="Prix_Tôle_Laser">'TARIF 2024'!$D$17</definedName>
    <definedName name="Prix_Tôle_Standard">'TARIF 2024'!$D$16</definedName>
    <definedName name="Prof_scellement">CALCULETTE!$C$17</definedName>
    <definedName name="Qté_closoirs">CALCULETTE!$C$24</definedName>
    <definedName name="Qté_closoirs_HT">CALCULETTE!$C$43</definedName>
    <definedName name="Qté_Embouts_HT">CALCULETTE!$C$42</definedName>
    <definedName name="Qté_entretoises_HT">CALCULETTE!$C$45</definedName>
    <definedName name="Qté_entretoises_scellée">CALCULETTE!$C$37</definedName>
    <definedName name="Qté_entretoises_sur_Platine">CALCULETTE!$C$36</definedName>
    <definedName name="Qté_Lame_par_trame">CALCULETTE!$C$34</definedName>
    <definedName name="Qté_Lames_HT">CALCULETTE!$C$41</definedName>
    <definedName name="Qté_lames_posées">CALCULETTE!$C$35</definedName>
    <definedName name="Qté_Lames_Trame_P">CALCULETTE!$H$37</definedName>
    <definedName name="Qté_Lames_Trame_P_Lame">CALCULETTE!$H$38</definedName>
    <definedName name="Qté_Lames_Trame_S">CALCULETTE!$M$37</definedName>
    <definedName name="Qté_Lames_Trame_S_Lame">CALCULETTE!$M$38</definedName>
    <definedName name="Qté_Platines_HT">CALCULETTE!$C$46</definedName>
    <definedName name="Qté_poteaux">CALCULETTE!$C$32</definedName>
    <definedName name="Qté_Poteaux_HT">CALCULETTE!$C$40</definedName>
    <definedName name="Qté_Poteaux_posés">CALCULETTE!$C$31</definedName>
    <definedName name="Qté_Toles">CALCULETTE!$C$23</definedName>
    <definedName name="Qté_Toles_HT">CALCULETTE!$C$44</definedName>
    <definedName name="Remplissage">CALCULETTE!$C$10</definedName>
    <definedName name="répartition_lames">CALCULETTE!$C$19</definedName>
    <definedName name="Type_Fixation">CALCULETTE!$C$11</definedName>
    <definedName name="_xlnm.Print_Area" localSheetId="2">CALCULETTE!$A$1:$O$46</definedName>
    <definedName name="_xlnm.Print_Area" localSheetId="3">VISUEL!$A$2:$O$11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82" l="1"/>
  <c r="C36" i="82"/>
  <c r="R38" i="82"/>
  <c r="R37" i="82"/>
  <c r="C43" i="82"/>
  <c r="G9" i="85" l="1"/>
  <c r="I4" i="85"/>
  <c r="S23" i="82"/>
  <c r="V23" i="82" s="1"/>
  <c r="R23" i="82"/>
  <c r="T23" i="82" s="1"/>
  <c r="R8" i="82"/>
  <c r="R9" i="82"/>
  <c r="R10" i="82"/>
  <c r="R11" i="82"/>
  <c r="R12" i="82"/>
  <c r="R13" i="82"/>
  <c r="R14" i="82"/>
  <c r="R15" i="82"/>
  <c r="R16" i="82"/>
  <c r="R17" i="82"/>
  <c r="R18" i="82"/>
  <c r="R7" i="82"/>
  <c r="S8" i="82"/>
  <c r="S9" i="82"/>
  <c r="S10" i="82"/>
  <c r="S11" i="82"/>
  <c r="S12" i="82"/>
  <c r="S13" i="82"/>
  <c r="S14" i="82"/>
  <c r="S15" i="82"/>
  <c r="S16" i="82"/>
  <c r="S17" i="82"/>
  <c r="S18" i="82"/>
  <c r="S7" i="82"/>
  <c r="C17" i="82" l="1"/>
  <c r="P7" i="85" s="1"/>
  <c r="M28" i="82" l="1"/>
  <c r="C27" i="82" s="1"/>
  <c r="M27" i="82"/>
  <c r="C44" i="82"/>
  <c r="M29" i="82" l="1"/>
  <c r="N44" i="82"/>
  <c r="M44" i="82"/>
  <c r="H27" i="82"/>
  <c r="C34" i="82" s="1"/>
  <c r="H28" i="82"/>
  <c r="H29" i="82"/>
  <c r="R24" i="82"/>
  <c r="T24" i="82" s="1"/>
  <c r="S24" i="82"/>
  <c r="V24" i="82" s="1"/>
  <c r="R25" i="82"/>
  <c r="T25" i="82" s="1"/>
  <c r="S25" i="82"/>
  <c r="V25" i="82" s="1"/>
  <c r="R26" i="82"/>
  <c r="T26" i="82" s="1"/>
  <c r="S26" i="82"/>
  <c r="V26" i="82" s="1"/>
  <c r="R27" i="82"/>
  <c r="T27" i="82" s="1"/>
  <c r="S27" i="82"/>
  <c r="V27" i="82" s="1"/>
  <c r="R28" i="82"/>
  <c r="T28" i="82" s="1"/>
  <c r="S28" i="82"/>
  <c r="V28" i="82" s="1"/>
  <c r="R29" i="82"/>
  <c r="T29" i="82" s="1"/>
  <c r="S29" i="82"/>
  <c r="V29" i="82" s="1"/>
  <c r="R30" i="82"/>
  <c r="T30" i="82" s="1"/>
  <c r="S30" i="82"/>
  <c r="V30" i="82" s="1"/>
  <c r="R31" i="82"/>
  <c r="T31" i="82" s="1"/>
  <c r="S31" i="82"/>
  <c r="V31" i="82" s="1"/>
  <c r="R32" i="82"/>
  <c r="T32" i="82" s="1"/>
  <c r="S32" i="82"/>
  <c r="V32" i="82" s="1"/>
  <c r="R33" i="82"/>
  <c r="T33" i="82" s="1"/>
  <c r="S33" i="82"/>
  <c r="V33" i="82" s="1"/>
  <c r="R34" i="82"/>
  <c r="T34" i="82" s="1"/>
  <c r="S34" i="82"/>
  <c r="V34" i="82" s="1"/>
  <c r="R35" i="82"/>
  <c r="T35" i="82" s="1"/>
  <c r="S35" i="82"/>
  <c r="V35" i="82" s="1"/>
  <c r="T36" i="82" l="1"/>
  <c r="V36" i="82"/>
  <c r="C33" i="82"/>
  <c r="C28" i="82"/>
  <c r="C31" i="82"/>
  <c r="C46" i="82" s="1"/>
  <c r="J44" i="82"/>
  <c r="V18" i="82"/>
  <c r="V14" i="82"/>
  <c r="V10" i="82"/>
  <c r="T10" i="82"/>
  <c r="T14" i="82"/>
  <c r="V17" i="82"/>
  <c r="V13" i="82"/>
  <c r="V9" i="82"/>
  <c r="T17" i="82"/>
  <c r="T13" i="82"/>
  <c r="T9" i="82"/>
  <c r="T18" i="82"/>
  <c r="T7" i="82"/>
  <c r="V16" i="82"/>
  <c r="V12" i="82"/>
  <c r="T8" i="82"/>
  <c r="V15" i="82"/>
  <c r="V11" i="82"/>
  <c r="V7" i="82"/>
  <c r="V8" i="82"/>
  <c r="T16" i="82"/>
  <c r="T12" i="82"/>
  <c r="T15" i="82"/>
  <c r="T11" i="82"/>
  <c r="J43" i="82"/>
  <c r="M35" i="82" l="1"/>
  <c r="K9" i="85" s="1"/>
  <c r="B4" i="85"/>
  <c r="W32" i="82"/>
  <c r="U23" i="82"/>
  <c r="T19" i="82"/>
  <c r="U14" i="82" s="1"/>
  <c r="E38" i="82"/>
  <c r="E37" i="82"/>
  <c r="C22" i="82"/>
  <c r="H38" i="82"/>
  <c r="W23" i="82" l="1"/>
  <c r="W33" i="82"/>
  <c r="W31" i="82"/>
  <c r="W24" i="82"/>
  <c r="W35" i="82"/>
  <c r="W30" i="82"/>
  <c r="W29" i="82"/>
  <c r="W28" i="82"/>
  <c r="W27" i="82"/>
  <c r="W26" i="82"/>
  <c r="W25" i="82"/>
  <c r="W34" i="82"/>
  <c r="U27" i="82"/>
  <c r="U33" i="82"/>
  <c r="U28" i="82"/>
  <c r="U34" i="82"/>
  <c r="U29" i="82"/>
  <c r="U35" i="82"/>
  <c r="U24" i="82"/>
  <c r="U30" i="82"/>
  <c r="U25" i="82"/>
  <c r="U31" i="82"/>
  <c r="U26" i="82"/>
  <c r="U32" i="82"/>
  <c r="U11" i="82"/>
  <c r="U13" i="82"/>
  <c r="U16" i="82"/>
  <c r="U9" i="82"/>
  <c r="U12" i="82"/>
  <c r="U18" i="82"/>
  <c r="U8" i="82"/>
  <c r="U10" i="82"/>
  <c r="U17" i="82"/>
  <c r="U7" i="82"/>
  <c r="U15" i="82"/>
  <c r="U36" i="82" l="1"/>
  <c r="W36" i="82"/>
  <c r="V19" i="82"/>
  <c r="U19" i="82"/>
  <c r="C42" i="82"/>
  <c r="J42" i="82" s="1"/>
  <c r="M36" i="82"/>
  <c r="H37" i="82"/>
  <c r="C47" i="82"/>
  <c r="C35" i="82"/>
  <c r="X36" i="82" l="1"/>
  <c r="W10" i="82"/>
  <c r="W12" i="82"/>
  <c r="W18" i="82"/>
  <c r="W9" i="82"/>
  <c r="W17" i="82"/>
  <c r="W14" i="82"/>
  <c r="W8" i="82"/>
  <c r="W16" i="82"/>
  <c r="W7" i="82"/>
  <c r="W13" i="82"/>
  <c r="W11" i="82"/>
  <c r="W15" i="82"/>
  <c r="J38" i="82"/>
  <c r="J37" i="82"/>
  <c r="J46" i="82"/>
  <c r="M37" i="82"/>
  <c r="C41" i="82" s="1"/>
  <c r="M38" i="82"/>
  <c r="S10" i="72"/>
  <c r="AF10" i="72"/>
  <c r="AE10" i="72"/>
  <c r="AD10" i="72"/>
  <c r="W10" i="72"/>
  <c r="V10" i="72"/>
  <c r="U10" i="72"/>
  <c r="AG10" i="72"/>
  <c r="H10" i="72"/>
  <c r="G10" i="72"/>
  <c r="F10" i="72"/>
  <c r="G10" i="38"/>
  <c r="H10" i="38"/>
  <c r="AG10" i="38"/>
  <c r="AH10" i="38"/>
  <c r="AI10" i="38"/>
  <c r="AQ10" i="38"/>
  <c r="AR10" i="38"/>
  <c r="AS10" i="38"/>
  <c r="AW10" i="38"/>
  <c r="AX10" i="38"/>
  <c r="AY10" i="38"/>
  <c r="AZ10" i="38"/>
  <c r="BA10" i="38"/>
  <c r="BB10" i="38"/>
  <c r="BM10" i="38"/>
  <c r="BN10" i="38"/>
  <c r="BO10" i="38"/>
  <c r="BS10" i="38"/>
  <c r="BT10" i="38"/>
  <c r="BU10" i="38"/>
  <c r="BV10" i="38"/>
  <c r="BW10" i="38"/>
  <c r="BX10" i="38"/>
  <c r="CK10" i="38"/>
  <c r="CM10" i="38"/>
  <c r="CN10" i="38"/>
  <c r="CO10" i="38"/>
  <c r="CQ10" i="38"/>
  <c r="CR10" i="38"/>
  <c r="CS10" i="38"/>
  <c r="CU10" i="38"/>
  <c r="CV10" i="38"/>
  <c r="CW10" i="38"/>
  <c r="G11" i="38"/>
  <c r="H11" i="38"/>
  <c r="AG11" i="38"/>
  <c r="AH11" i="38"/>
  <c r="AI11" i="38"/>
  <c r="AQ11" i="38"/>
  <c r="AR11" i="38"/>
  <c r="AS11" i="38"/>
  <c r="AW11" i="38"/>
  <c r="AX11" i="38"/>
  <c r="AY11" i="38"/>
  <c r="AZ11" i="38"/>
  <c r="BA11" i="38"/>
  <c r="BB11" i="38"/>
  <c r="BM11" i="38"/>
  <c r="BN11" i="38"/>
  <c r="BO11" i="38"/>
  <c r="BS11" i="38"/>
  <c r="BT11" i="38"/>
  <c r="BU11" i="38"/>
  <c r="BV11" i="38"/>
  <c r="BW11" i="38"/>
  <c r="BX11" i="38"/>
  <c r="CM11" i="38"/>
  <c r="CN11" i="38"/>
  <c r="CO11" i="38"/>
  <c r="CQ11" i="38"/>
  <c r="CR11" i="38"/>
  <c r="CS11" i="38"/>
  <c r="CU11" i="38"/>
  <c r="CV11" i="38"/>
  <c r="CW11" i="38"/>
  <c r="G12" i="38"/>
  <c r="H12" i="38"/>
  <c r="AG12" i="38"/>
  <c r="AH12" i="38"/>
  <c r="AI12" i="38"/>
  <c r="AQ12" i="38"/>
  <c r="AR12" i="38"/>
  <c r="AS12" i="38"/>
  <c r="AW12" i="38"/>
  <c r="AX12" i="38"/>
  <c r="AY12" i="38"/>
  <c r="AZ12" i="38"/>
  <c r="BA12" i="38"/>
  <c r="BB12" i="38"/>
  <c r="BM12" i="38"/>
  <c r="BN12" i="38"/>
  <c r="BO12" i="38"/>
  <c r="BS12" i="38"/>
  <c r="BT12" i="38"/>
  <c r="BU12" i="38"/>
  <c r="BV12" i="38"/>
  <c r="BW12" i="38"/>
  <c r="BX12" i="38"/>
  <c r="CM12" i="38"/>
  <c r="CN12" i="38"/>
  <c r="CO12" i="38"/>
  <c r="CY12" i="38"/>
  <c r="CZ12" i="38"/>
  <c r="DA12" i="38"/>
  <c r="G13" i="38"/>
  <c r="H13" i="38"/>
  <c r="AD13" i="38"/>
  <c r="AE13" i="38"/>
  <c r="AF13" i="38"/>
  <c r="AT13" i="38"/>
  <c r="AU13" i="38"/>
  <c r="AV13" i="38"/>
  <c r="AW13" i="38"/>
  <c r="AX13" i="38"/>
  <c r="AY13" i="38"/>
  <c r="AZ13" i="38"/>
  <c r="BA13" i="38"/>
  <c r="BB13" i="38"/>
  <c r="BP13" i="38"/>
  <c r="BQ13" i="38"/>
  <c r="BR13" i="38"/>
  <c r="BS13" i="38"/>
  <c r="BT13" i="38"/>
  <c r="BU13" i="38"/>
  <c r="BV13" i="38"/>
  <c r="BW13" i="38"/>
  <c r="BX13" i="38"/>
  <c r="CM13" i="38"/>
  <c r="CN13" i="38"/>
  <c r="CO13" i="38"/>
  <c r="CY13" i="38"/>
  <c r="CZ13" i="38"/>
  <c r="DA13" i="38"/>
  <c r="G14" i="38"/>
  <c r="H14" i="38"/>
  <c r="AG14" i="38"/>
  <c r="AH14" i="38"/>
  <c r="AI14" i="38"/>
  <c r="AQ14" i="38"/>
  <c r="AR14" i="38"/>
  <c r="AS14" i="38"/>
  <c r="AW14" i="38"/>
  <c r="AX14" i="38"/>
  <c r="AY14" i="38"/>
  <c r="AZ14" i="38"/>
  <c r="BA14" i="38"/>
  <c r="BB14" i="38"/>
  <c r="BM14" i="38"/>
  <c r="BN14" i="38"/>
  <c r="BO14" i="38"/>
  <c r="BS14" i="38"/>
  <c r="BT14" i="38"/>
  <c r="BU14" i="38"/>
  <c r="BV14" i="38"/>
  <c r="BW14" i="38"/>
  <c r="BX14" i="38"/>
  <c r="CM14" i="38"/>
  <c r="CN14" i="38"/>
  <c r="CO14" i="38"/>
  <c r="CQ14" i="38"/>
  <c r="CR14" i="38"/>
  <c r="CS14" i="38"/>
  <c r="CY14" i="38"/>
  <c r="CZ14" i="38"/>
  <c r="DA14" i="38"/>
  <c r="G15" i="38"/>
  <c r="H15" i="38"/>
  <c r="AM15" i="38"/>
  <c r="AN15" i="38"/>
  <c r="AO15" i="38"/>
  <c r="AQ15" i="38"/>
  <c r="AR15" i="38"/>
  <c r="AS15" i="38"/>
  <c r="AT15" i="38"/>
  <c r="AU15" i="38"/>
  <c r="AV15" i="38"/>
  <c r="AW15" i="38"/>
  <c r="AX15" i="38"/>
  <c r="AY15" i="38"/>
  <c r="BM15" i="38"/>
  <c r="BN15" i="38"/>
  <c r="BO15" i="38"/>
  <c r="BP15" i="38"/>
  <c r="BQ15" i="38"/>
  <c r="BR15" i="38"/>
  <c r="BS15" i="38"/>
  <c r="BT15" i="38"/>
  <c r="BU15" i="38"/>
  <c r="CQ15" i="38"/>
  <c r="CR15" i="38"/>
  <c r="CS15" i="38"/>
  <c r="CU15" i="38"/>
  <c r="CV15" i="38"/>
  <c r="CW15" i="38"/>
  <c r="CY15" i="38"/>
  <c r="CZ15" i="38"/>
  <c r="DA15" i="38"/>
  <c r="G16" i="38"/>
  <c r="H16" i="38"/>
  <c r="AM16" i="38"/>
  <c r="AN16" i="38"/>
  <c r="AO16" i="38"/>
  <c r="AQ16" i="38"/>
  <c r="AR16" i="38"/>
  <c r="AS16" i="38"/>
  <c r="AT16" i="38"/>
  <c r="AU16" i="38"/>
  <c r="AV16" i="38"/>
  <c r="AW16" i="38"/>
  <c r="AX16" i="38"/>
  <c r="AY16" i="38"/>
  <c r="BM16" i="38"/>
  <c r="BN16" i="38"/>
  <c r="BO16" i="38"/>
  <c r="BP16" i="38"/>
  <c r="BQ16" i="38"/>
  <c r="BR16" i="38"/>
  <c r="BS16" i="38"/>
  <c r="BT16" i="38"/>
  <c r="BU16" i="38"/>
  <c r="CQ16" i="38"/>
  <c r="CR16" i="38"/>
  <c r="CS16" i="38"/>
  <c r="CU16" i="38"/>
  <c r="CV16" i="38"/>
  <c r="CW16" i="38"/>
  <c r="CY16" i="38"/>
  <c r="CZ16" i="38"/>
  <c r="DA16" i="38"/>
  <c r="G17" i="38"/>
  <c r="H17" i="38"/>
  <c r="AM17" i="38"/>
  <c r="AN17" i="38"/>
  <c r="AO17" i="38"/>
  <c r="AQ17" i="38"/>
  <c r="AR17" i="38"/>
  <c r="AS17" i="38"/>
  <c r="AT17" i="38"/>
  <c r="AU17" i="38"/>
  <c r="AV17" i="38"/>
  <c r="AW17" i="38"/>
  <c r="AX17" i="38"/>
  <c r="AY17" i="38"/>
  <c r="BM17" i="38"/>
  <c r="BN17" i="38"/>
  <c r="BO17" i="38"/>
  <c r="BP17" i="38"/>
  <c r="BQ17" i="38"/>
  <c r="BR17" i="38"/>
  <c r="BS17" i="38"/>
  <c r="BT17" i="38"/>
  <c r="BU17" i="38"/>
  <c r="CQ17" i="38"/>
  <c r="CR17" i="38"/>
  <c r="CS17" i="38"/>
  <c r="CU17" i="38"/>
  <c r="CV17" i="38"/>
  <c r="CW17" i="38"/>
  <c r="CY17" i="38"/>
  <c r="CZ17" i="38"/>
  <c r="DA17" i="38"/>
  <c r="G18" i="38"/>
  <c r="H18" i="38"/>
  <c r="AM18" i="38"/>
  <c r="AN18" i="38"/>
  <c r="AO18" i="38"/>
  <c r="AQ18" i="38"/>
  <c r="AR18" i="38"/>
  <c r="AS18" i="38"/>
  <c r="AT18" i="38"/>
  <c r="AU18" i="38"/>
  <c r="AV18" i="38"/>
  <c r="AW18" i="38"/>
  <c r="AX18" i="38"/>
  <c r="AY18" i="38"/>
  <c r="BM18" i="38"/>
  <c r="BN18" i="38"/>
  <c r="BO18" i="38"/>
  <c r="BP18" i="38"/>
  <c r="BQ18" i="38"/>
  <c r="BR18" i="38"/>
  <c r="BS18" i="38"/>
  <c r="BT18" i="38"/>
  <c r="BU18" i="38"/>
  <c r="CQ18" i="38"/>
  <c r="CR18" i="38"/>
  <c r="CS18" i="38"/>
  <c r="CU18" i="38"/>
  <c r="CV18" i="38"/>
  <c r="CW18" i="38"/>
  <c r="CY18" i="38"/>
  <c r="CZ18" i="38"/>
  <c r="DA18" i="38"/>
  <c r="G19" i="38"/>
  <c r="H19" i="38"/>
  <c r="AM19" i="38"/>
  <c r="AN19" i="38"/>
  <c r="AO19" i="38"/>
  <c r="AQ19" i="38"/>
  <c r="AR19" i="38"/>
  <c r="AS19" i="38"/>
  <c r="AT19" i="38"/>
  <c r="AU19" i="38"/>
  <c r="AV19" i="38"/>
  <c r="AW19" i="38"/>
  <c r="AX19" i="38"/>
  <c r="AY19" i="38"/>
  <c r="BM19" i="38"/>
  <c r="BN19" i="38"/>
  <c r="BO19" i="38"/>
  <c r="BP19" i="38"/>
  <c r="BQ19" i="38"/>
  <c r="BR19" i="38"/>
  <c r="BS19" i="38"/>
  <c r="BT19" i="38"/>
  <c r="BU19" i="38"/>
  <c r="CQ19" i="38"/>
  <c r="CR19" i="38"/>
  <c r="CS19" i="38"/>
  <c r="CU19" i="38"/>
  <c r="CV19" i="38"/>
  <c r="CW19" i="38"/>
  <c r="CY19" i="38"/>
  <c r="CZ19" i="38"/>
  <c r="DA19" i="38"/>
  <c r="G20" i="38"/>
  <c r="H20" i="38"/>
  <c r="AM20" i="38"/>
  <c r="AN20" i="38"/>
  <c r="AO20" i="38"/>
  <c r="AQ20" i="38"/>
  <c r="AR20" i="38"/>
  <c r="AS20" i="38"/>
  <c r="AT20" i="38"/>
  <c r="AU20" i="38"/>
  <c r="AV20" i="38"/>
  <c r="AW20" i="38"/>
  <c r="AX20" i="38"/>
  <c r="AY20" i="38"/>
  <c r="BM20" i="38"/>
  <c r="BN20" i="38"/>
  <c r="BO20" i="38"/>
  <c r="BP20" i="38"/>
  <c r="BQ20" i="38"/>
  <c r="BR20" i="38"/>
  <c r="BS20" i="38"/>
  <c r="BT20" i="38"/>
  <c r="BU20" i="38"/>
  <c r="CQ20" i="38"/>
  <c r="CR20" i="38"/>
  <c r="CS20" i="38"/>
  <c r="CU20" i="38"/>
  <c r="CV20" i="38"/>
  <c r="CW20" i="38"/>
  <c r="CY20" i="38"/>
  <c r="CZ20" i="38"/>
  <c r="DA20" i="38"/>
  <c r="G21" i="38"/>
  <c r="H21" i="38"/>
  <c r="AM21" i="38"/>
  <c r="AN21" i="38"/>
  <c r="AO21" i="38"/>
  <c r="AQ21" i="38"/>
  <c r="AR21" i="38"/>
  <c r="AS21" i="38"/>
  <c r="AT21" i="38"/>
  <c r="AU21" i="38"/>
  <c r="AV21" i="38"/>
  <c r="AW21" i="38"/>
  <c r="AX21" i="38"/>
  <c r="AY21" i="38"/>
  <c r="BM21" i="38"/>
  <c r="BN21" i="38"/>
  <c r="BO21" i="38"/>
  <c r="BP21" i="38"/>
  <c r="BQ21" i="38"/>
  <c r="BR21" i="38"/>
  <c r="BS21" i="38"/>
  <c r="BT21" i="38"/>
  <c r="BU21" i="38"/>
  <c r="CQ21" i="38"/>
  <c r="CR21" i="38"/>
  <c r="CS21" i="38"/>
  <c r="CU21" i="38"/>
  <c r="CV21" i="38"/>
  <c r="CW21" i="38"/>
  <c r="CY21" i="38"/>
  <c r="CZ21" i="38"/>
  <c r="DA21" i="38"/>
  <c r="G22" i="38"/>
  <c r="H22" i="38"/>
  <c r="AT22" i="38"/>
  <c r="AU22" i="38"/>
  <c r="AV22" i="38"/>
  <c r="AW22" i="38"/>
  <c r="AX22" i="38"/>
  <c r="AY22" i="38"/>
  <c r="AZ22" i="38"/>
  <c r="BA22" i="38"/>
  <c r="BB22" i="38"/>
  <c r="BP22" i="38"/>
  <c r="BQ22" i="38"/>
  <c r="BR22" i="38"/>
  <c r="BS22" i="38"/>
  <c r="BT22" i="38"/>
  <c r="BU22" i="38"/>
  <c r="BV22" i="38"/>
  <c r="BW22" i="38"/>
  <c r="BX22" i="38"/>
  <c r="CM22" i="38"/>
  <c r="CN22" i="38"/>
  <c r="CO22" i="38"/>
  <c r="F23" i="38"/>
  <c r="G23" i="38"/>
  <c r="H23" i="38"/>
  <c r="K23" i="38"/>
  <c r="L23" i="38"/>
  <c r="AM23" i="38"/>
  <c r="AN23" i="38"/>
  <c r="AO23" i="38"/>
  <c r="AT23" i="38"/>
  <c r="AU23" i="38"/>
  <c r="AV23" i="38"/>
  <c r="AW23" i="38"/>
  <c r="AX23" i="38"/>
  <c r="AY23" i="38"/>
  <c r="BD23" i="38"/>
  <c r="BE23" i="38"/>
  <c r="BF23" i="38"/>
  <c r="CQ23" i="38"/>
  <c r="CR23" i="38"/>
  <c r="CS23" i="38"/>
  <c r="CU23" i="38"/>
  <c r="CV23" i="38"/>
  <c r="CW23" i="38"/>
  <c r="CY23" i="38"/>
  <c r="CZ23" i="38"/>
  <c r="DA23" i="38"/>
  <c r="F25" i="38"/>
  <c r="K25" i="38"/>
  <c r="L25" i="38"/>
  <c r="CK25" i="38"/>
  <c r="CM25" i="38"/>
  <c r="CN25" i="38"/>
  <c r="CO25" i="38"/>
  <c r="CQ25" i="38"/>
  <c r="CR25" i="38"/>
  <c r="CS25" i="38"/>
  <c r="CU25" i="38"/>
  <c r="CV25" i="38"/>
  <c r="CW25" i="38"/>
  <c r="CY25" i="38"/>
  <c r="CZ25" i="38"/>
  <c r="DA25" i="38"/>
  <c r="F26" i="38"/>
  <c r="K26" i="38"/>
  <c r="L26" i="38"/>
  <c r="CM26" i="38"/>
  <c r="CN26" i="38"/>
  <c r="CO26" i="38"/>
  <c r="CQ26" i="38"/>
  <c r="CR26" i="38"/>
  <c r="CS26" i="38"/>
  <c r="CU26" i="38"/>
  <c r="CV26" i="38"/>
  <c r="CW26" i="38"/>
  <c r="CY26" i="38"/>
  <c r="CZ26" i="38"/>
  <c r="DA26" i="38"/>
  <c r="F27" i="38"/>
  <c r="G27" i="38"/>
  <c r="H27" i="38"/>
  <c r="K27" i="38"/>
  <c r="L27" i="38"/>
  <c r="CK27" i="38"/>
  <c r="CM27" i="38"/>
  <c r="CN27" i="38"/>
  <c r="CO27" i="38"/>
  <c r="CQ27" i="38"/>
  <c r="CR27" i="38"/>
  <c r="CS27" i="38"/>
  <c r="CU27" i="38"/>
  <c r="CV27" i="38"/>
  <c r="CW27" i="38"/>
  <c r="CY27" i="38"/>
  <c r="CZ27" i="38"/>
  <c r="DA27" i="38"/>
  <c r="C28" i="38"/>
  <c r="F28" i="38"/>
  <c r="K28" i="38"/>
  <c r="L28" i="38"/>
  <c r="CM28" i="38"/>
  <c r="CN28" i="38"/>
  <c r="CO28" i="38"/>
  <c r="CQ28" i="38"/>
  <c r="CR28" i="38"/>
  <c r="CS28" i="38"/>
  <c r="CU28" i="38"/>
  <c r="CV28" i="38"/>
  <c r="CW28" i="38"/>
  <c r="CY28" i="38"/>
  <c r="CZ28" i="38"/>
  <c r="DA28" i="38"/>
  <c r="F29" i="38"/>
  <c r="K29" i="38"/>
  <c r="L29" i="38"/>
  <c r="CK29" i="38"/>
  <c r="CM29" i="38"/>
  <c r="CN29" i="38"/>
  <c r="CO29" i="38"/>
  <c r="CQ29" i="38"/>
  <c r="CR29" i="38"/>
  <c r="CS29" i="38"/>
  <c r="CU29" i="38"/>
  <c r="CV29" i="38"/>
  <c r="CW29" i="38"/>
  <c r="CY29" i="38"/>
  <c r="CZ29" i="38"/>
  <c r="DA29" i="38"/>
  <c r="F30" i="38"/>
  <c r="K30" i="38"/>
  <c r="L30" i="38"/>
  <c r="CM30" i="38"/>
  <c r="CN30" i="38"/>
  <c r="CO30" i="38"/>
  <c r="CQ30" i="38"/>
  <c r="CR30" i="38"/>
  <c r="CS30" i="38"/>
  <c r="CU30" i="38"/>
  <c r="CV30" i="38"/>
  <c r="CW30" i="38"/>
  <c r="CY30" i="38"/>
  <c r="CZ30" i="38"/>
  <c r="DA30" i="38"/>
  <c r="F31" i="38"/>
  <c r="G31" i="38"/>
  <c r="H31" i="38"/>
  <c r="CK31" i="38"/>
  <c r="CM31" i="38"/>
  <c r="CN31" i="38"/>
  <c r="CO31" i="38"/>
  <c r="CQ31" i="38"/>
  <c r="CR31" i="38"/>
  <c r="CS31" i="38"/>
  <c r="CU31" i="38"/>
  <c r="CV31" i="38"/>
  <c r="CW31" i="38"/>
  <c r="CY31" i="38"/>
  <c r="CZ31" i="38"/>
  <c r="DA31" i="38"/>
  <c r="F32" i="38"/>
  <c r="G32" i="38"/>
  <c r="H32" i="38"/>
  <c r="K32" i="38"/>
  <c r="L32" i="38"/>
  <c r="CK32" i="38"/>
  <c r="CM32" i="38"/>
  <c r="CN32" i="38"/>
  <c r="CO32" i="38"/>
  <c r="CQ32" i="38"/>
  <c r="CR32" i="38"/>
  <c r="CS32" i="38"/>
  <c r="CU32" i="38"/>
  <c r="CV32" i="38"/>
  <c r="CW32" i="38"/>
  <c r="CY32" i="38"/>
  <c r="CZ32" i="38"/>
  <c r="DA32" i="38"/>
  <c r="F33" i="38"/>
  <c r="H33" i="38"/>
  <c r="K33" i="38"/>
  <c r="L33" i="38"/>
  <c r="CM33" i="38"/>
  <c r="CN33" i="38"/>
  <c r="CO33" i="38"/>
  <c r="CQ33" i="38"/>
  <c r="CR33" i="38"/>
  <c r="CS33" i="38"/>
  <c r="CU33" i="38"/>
  <c r="CV33" i="38"/>
  <c r="CW33" i="38"/>
  <c r="CY33" i="38"/>
  <c r="CZ33" i="38"/>
  <c r="DA33" i="38"/>
  <c r="F34" i="38"/>
  <c r="G34" i="38"/>
  <c r="H34" i="38"/>
  <c r="K34" i="38"/>
  <c r="L34" i="38"/>
  <c r="CK34" i="38"/>
  <c r="CM34" i="38"/>
  <c r="CN34" i="38"/>
  <c r="CO34" i="38"/>
  <c r="CQ34" i="38"/>
  <c r="CR34" i="38"/>
  <c r="CS34" i="38"/>
  <c r="CU34" i="38"/>
  <c r="CV34" i="38"/>
  <c r="CW34" i="38"/>
  <c r="CY34" i="38"/>
  <c r="CZ34" i="38"/>
  <c r="DA34" i="38"/>
  <c r="F35" i="38"/>
  <c r="G35" i="38"/>
  <c r="H35" i="38"/>
  <c r="K35" i="38"/>
  <c r="L35" i="38"/>
  <c r="CK35" i="38"/>
  <c r="CM35" i="38"/>
  <c r="CN35" i="38"/>
  <c r="CO35" i="38"/>
  <c r="CQ35" i="38"/>
  <c r="CR35" i="38"/>
  <c r="CS35" i="38"/>
  <c r="CU35" i="38"/>
  <c r="CV35" i="38"/>
  <c r="CW35" i="38"/>
  <c r="CY35" i="38"/>
  <c r="CZ35" i="38"/>
  <c r="DA35" i="38"/>
  <c r="F36" i="38"/>
  <c r="G36" i="38"/>
  <c r="H36" i="38"/>
  <c r="K36" i="38"/>
  <c r="L36" i="38"/>
  <c r="CK36" i="38"/>
  <c r="CM36" i="38"/>
  <c r="CN36" i="38"/>
  <c r="CO36" i="38"/>
  <c r="CQ36" i="38"/>
  <c r="CR36" i="38"/>
  <c r="CS36" i="38"/>
  <c r="CU36" i="38"/>
  <c r="CV36" i="38"/>
  <c r="CW36" i="38"/>
  <c r="CY36" i="38"/>
  <c r="CZ36" i="38"/>
  <c r="DA36" i="38"/>
  <c r="CM40" i="38"/>
  <c r="CN40" i="38"/>
  <c r="CO40" i="38"/>
  <c r="CQ40" i="38"/>
  <c r="CR40" i="38"/>
  <c r="CS40" i="38"/>
  <c r="CU40" i="38"/>
  <c r="CV40" i="38"/>
  <c r="CW40" i="38"/>
  <c r="CY40" i="38"/>
  <c r="CZ40" i="38"/>
  <c r="DA40" i="38"/>
  <c r="X10" i="72"/>
  <c r="F11" i="38"/>
  <c r="L17" i="38"/>
  <c r="K11" i="38"/>
  <c r="K21" i="38"/>
  <c r="F22" i="38"/>
  <c r="H28" i="38"/>
  <c r="H26" i="38"/>
  <c r="F13" i="38"/>
  <c r="H30" i="38"/>
  <c r="F20" i="38"/>
  <c r="L20" i="38"/>
  <c r="L13" i="38"/>
  <c r="K14" i="38"/>
  <c r="F16" i="38"/>
  <c r="L10" i="38"/>
  <c r="L15" i="38"/>
  <c r="F12" i="38"/>
  <c r="G26" i="38"/>
  <c r="G30" i="38"/>
  <c r="L12" i="38"/>
  <c r="F19" i="38"/>
  <c r="K22" i="38"/>
  <c r="H29" i="38"/>
  <c r="K12" i="38"/>
  <c r="L22" i="38"/>
  <c r="K16" i="38"/>
  <c r="F21" i="38"/>
  <c r="L14" i="38"/>
  <c r="G25" i="38"/>
  <c r="G29" i="38"/>
  <c r="K10" i="38"/>
  <c r="G28" i="38"/>
  <c r="K19" i="38"/>
  <c r="K13" i="38"/>
  <c r="F10" i="38"/>
  <c r="L21" i="38"/>
  <c r="F15" i="38"/>
  <c r="L18" i="38"/>
  <c r="L16" i="38"/>
  <c r="F14" i="38"/>
  <c r="F17" i="38"/>
  <c r="F18" i="38"/>
  <c r="K18" i="38"/>
  <c r="K15" i="38"/>
  <c r="H25" i="38"/>
  <c r="K20" i="38"/>
  <c r="L11" i="38"/>
  <c r="K17" i="38"/>
  <c r="L19" i="38"/>
  <c r="C45" i="82" l="1"/>
  <c r="W19" i="82"/>
  <c r="X19" i="82" s="1"/>
  <c r="C29" i="82" s="1"/>
  <c r="R39" i="82" s="1"/>
  <c r="J41" i="82"/>
  <c r="AM10" i="72"/>
  <c r="AM12" i="72" s="1"/>
  <c r="C2" i="38"/>
  <c r="C2" i="72"/>
  <c r="AR13" i="38"/>
  <c r="AQ13" i="38"/>
  <c r="AS13" i="38"/>
  <c r="BQ10" i="38"/>
  <c r="BR10" i="38"/>
  <c r="BP10" i="38"/>
  <c r="BM13" i="38"/>
  <c r="BN13" i="38"/>
  <c r="BO13" i="38"/>
  <c r="AT12" i="38"/>
  <c r="AU12" i="38"/>
  <c r="AV12" i="38"/>
  <c r="BW17" i="38"/>
  <c r="BX17" i="38"/>
  <c r="BV17" i="38"/>
  <c r="BW15" i="38"/>
  <c r="BX15" i="38"/>
  <c r="BV15" i="38"/>
  <c r="AV14" i="38"/>
  <c r="AT14" i="38"/>
  <c r="AU14" i="38"/>
  <c r="BB15" i="38"/>
  <c r="AZ15" i="38"/>
  <c r="BA15" i="38"/>
  <c r="AT10" i="38"/>
  <c r="AU10" i="38"/>
  <c r="AV10" i="38"/>
  <c r="AU11" i="38"/>
  <c r="AT11" i="38"/>
  <c r="AV11" i="38"/>
  <c r="BN22" i="38"/>
  <c r="BM22" i="38"/>
  <c r="BO22" i="38"/>
  <c r="CK33" i="38"/>
  <c r="BB20" i="38"/>
  <c r="BA20" i="38"/>
  <c r="AZ20" i="38"/>
  <c r="CK28" i="38"/>
  <c r="BW20" i="38"/>
  <c r="BV20" i="38"/>
  <c r="BX20" i="38"/>
  <c r="BW21" i="38"/>
  <c r="BV21" i="38"/>
  <c r="CK30" i="38"/>
  <c r="BX21" i="38"/>
  <c r="BA21" i="38"/>
  <c r="AZ21" i="38"/>
  <c r="BB21" i="38"/>
  <c r="BR12" i="38"/>
  <c r="BQ12" i="38"/>
  <c r="BP12" i="38"/>
  <c r="AQ22" i="38"/>
  <c r="AR22" i="38"/>
  <c r="AS22" i="38"/>
  <c r="BW16" i="38"/>
  <c r="BV16" i="38"/>
  <c r="BX16" i="38"/>
  <c r="BX18" i="38"/>
  <c r="BV18" i="38"/>
  <c r="BW18" i="38"/>
  <c r="BA19" i="38"/>
  <c r="BB19" i="38"/>
  <c r="AZ19" i="38"/>
  <c r="BQ14" i="38"/>
  <c r="BP14" i="38"/>
  <c r="BR14" i="38"/>
  <c r="BP11" i="38"/>
  <c r="BR11" i="38"/>
  <c r="BQ11" i="38"/>
  <c r="BX19" i="38"/>
  <c r="CB23" i="38"/>
  <c r="CO23" i="38" s="1"/>
  <c r="BZ23" i="38"/>
  <c r="CM23" i="38" s="1"/>
  <c r="CA23" i="38"/>
  <c r="CN23" i="38" s="1"/>
  <c r="BV19" i="38"/>
  <c r="BW19" i="38"/>
  <c r="AZ18" i="38"/>
  <c r="BA18" i="38"/>
  <c r="BB18" i="38"/>
  <c r="AZ16" i="38"/>
  <c r="BB16" i="38"/>
  <c r="BA16" i="38"/>
  <c r="BB17" i="38"/>
  <c r="BA17" i="38"/>
  <c r="AZ17" i="38"/>
  <c r="J45" i="82" l="1"/>
  <c r="C30" i="82"/>
  <c r="CN19" i="38"/>
  <c r="CW14" i="38"/>
  <c r="CO21" i="38"/>
  <c r="CM17" i="38"/>
  <c r="CN18" i="38"/>
  <c r="CM18" i="38"/>
  <c r="CO17" i="38"/>
  <c r="CY10" i="38"/>
  <c r="CV14" i="38"/>
  <c r="CN21" i="38"/>
  <c r="CU14" i="38"/>
  <c r="CO19" i="38"/>
  <c r="CO18" i="38"/>
  <c r="CM21" i="38"/>
  <c r="CN17" i="38"/>
  <c r="DA10" i="38"/>
  <c r="CZ10" i="38"/>
  <c r="CN16" i="38"/>
  <c r="CM15" i="38"/>
  <c r="CM38" i="38" s="1"/>
  <c r="CM49" i="38" s="1"/>
  <c r="CO16" i="38"/>
  <c r="CW12" i="38"/>
  <c r="CW38" i="38" s="1"/>
  <c r="CS12" i="38"/>
  <c r="CS38" i="38" s="1"/>
  <c r="CY11" i="38"/>
  <c r="CN15" i="38"/>
  <c r="CN38" i="38" s="1"/>
  <c r="CR13" i="38"/>
  <c r="CV13" i="38"/>
  <c r="CQ12" i="38"/>
  <c r="CQ38" i="38" s="1"/>
  <c r="CU12" i="38"/>
  <c r="CU38" i="38" s="1"/>
  <c r="CM16" i="38"/>
  <c r="CO20" i="38"/>
  <c r="CW22" i="38"/>
  <c r="CS22" i="38"/>
  <c r="DA22" i="38"/>
  <c r="CU13" i="38"/>
  <c r="CQ13" i="38"/>
  <c r="CZ11" i="38"/>
  <c r="CM20" i="38"/>
  <c r="CU22" i="38"/>
  <c r="CY22" i="38"/>
  <c r="CQ22" i="38"/>
  <c r="CV12" i="38"/>
  <c r="CV38" i="38" s="1"/>
  <c r="CR12" i="38"/>
  <c r="CR38" i="38" s="1"/>
  <c r="CM19" i="38"/>
  <c r="DA11" i="38"/>
  <c r="CN20" i="38"/>
  <c r="CR22" i="38"/>
  <c r="CV22" i="38"/>
  <c r="CZ22" i="38"/>
  <c r="CO15" i="38"/>
  <c r="CO38" i="38" s="1"/>
  <c r="CS13" i="38"/>
  <c r="CW13" i="38"/>
  <c r="B7" i="85" l="1"/>
  <c r="N7" i="85" s="1"/>
  <c r="H2" i="85"/>
  <c r="CZ38" i="38"/>
  <c r="CZ49" i="38" s="1"/>
  <c r="CM42" i="38"/>
  <c r="CM45" i="38" s="1"/>
  <c r="CM46" i="38" s="1"/>
  <c r="CY38" i="38"/>
  <c r="CY49" i="38" s="1"/>
  <c r="CV49" i="38"/>
  <c r="CV42" i="38"/>
  <c r="CV45" i="38" s="1"/>
  <c r="CV46" i="38" s="1"/>
  <c r="CQ49" i="38"/>
  <c r="CQ42" i="38"/>
  <c r="CQ45" i="38" s="1"/>
  <c r="CQ46" i="38" s="1"/>
  <c r="CN49" i="38"/>
  <c r="CN42" i="38"/>
  <c r="CN45" i="38" s="1"/>
  <c r="CN46" i="38" s="1"/>
  <c r="DA38" i="38"/>
  <c r="CS49" i="38"/>
  <c r="CS42" i="38"/>
  <c r="CS45" i="38" s="1"/>
  <c r="CS46" i="38" s="1"/>
  <c r="CO49" i="38"/>
  <c r="CO42" i="38"/>
  <c r="CO45" i="38" s="1"/>
  <c r="CO46" i="38" s="1"/>
  <c r="CR42" i="38"/>
  <c r="CR45" i="38" s="1"/>
  <c r="CR46" i="38" s="1"/>
  <c r="CR49" i="38"/>
  <c r="CU49" i="38"/>
  <c r="CU42" i="38"/>
  <c r="CU45" i="38" s="1"/>
  <c r="CU46" i="38" s="1"/>
  <c r="CW42" i="38"/>
  <c r="CW45" i="38" s="1"/>
  <c r="CW46" i="38" s="1"/>
  <c r="CW49" i="38"/>
  <c r="C32" i="82" l="1"/>
  <c r="C40" i="82" s="1"/>
  <c r="J40" i="82" s="1"/>
  <c r="N46" i="82" s="1"/>
  <c r="CM43" i="38"/>
  <c r="CY42" i="38"/>
  <c r="CY45" i="38" s="1"/>
  <c r="CY46" i="38" s="1"/>
  <c r="CW43" i="38"/>
  <c r="CZ42" i="38"/>
  <c r="CZ45" i="38" s="1"/>
  <c r="CZ46" i="38" s="1"/>
  <c r="CQ43" i="38"/>
  <c r="CV43" i="38"/>
  <c r="CO43" i="38"/>
  <c r="CU43" i="38"/>
  <c r="CN43" i="38"/>
  <c r="CR43" i="38"/>
  <c r="CS43" i="38"/>
  <c r="DA49" i="38"/>
  <c r="DA42" i="38"/>
  <c r="DA45" i="38" s="1"/>
  <c r="DA46" i="38" s="1"/>
  <c r="CY43" i="38" l="1"/>
  <c r="CZ43" i="38"/>
  <c r="DA43" i="3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Jean-Francois NOUVEL</author>
    <author>Xiaoqing Z</author>
  </authors>
  <commentList>
    <comment ref="C20" authorId="0" shapeId="0" xr:uid="{BE81D3EC-1659-4582-A09F-A5DC1B7E1724}">
      <text>
        <r>
          <rPr>
            <sz val="9"/>
            <color indexed="81"/>
            <rFont val="Tahoma"/>
            <charset val="1"/>
          </rPr>
          <t>= 2051 pour mettre des Lames entières.</t>
        </r>
      </text>
    </comment>
    <comment ref="F44" authorId="1" shapeId="0" xr:uid="{A80EBEEB-37C6-4079-AAAE-C0F905E293D2}">
      <text>
        <r>
          <rPr>
            <b/>
            <sz val="9"/>
            <color indexed="81"/>
            <rFont val="Tahoma"/>
            <family val="2"/>
          </rPr>
          <t xml:space="preserve">Choix!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4" authorId="1" shapeId="0" xr:uid="{CC368BBC-9A21-445D-AE3E-54D433527EFE}">
      <text>
        <r>
          <rPr>
            <b/>
            <sz val="9"/>
            <color indexed="81"/>
            <rFont val="Tahoma"/>
            <family val="2"/>
          </rPr>
          <t xml:space="preserve">Choix!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8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</futureMetadata>
  <valueMetadata count="8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</valueMetadata>
</metadata>
</file>

<file path=xl/sharedStrings.xml><?xml version="1.0" encoding="utf-8"?>
<sst xmlns="http://schemas.openxmlformats.org/spreadsheetml/2006/main" count="502" uniqueCount="292">
  <si>
    <t>Désignation</t>
  </si>
  <si>
    <t>Ensemble</t>
  </si>
  <si>
    <t>Total</t>
  </si>
  <si>
    <t>Qté</t>
  </si>
  <si>
    <t>Masse</t>
  </si>
  <si>
    <t>Opérations</t>
  </si>
  <si>
    <t>Profil</t>
  </si>
  <si>
    <t>Pièce</t>
  </si>
  <si>
    <t>Peinture</t>
  </si>
  <si>
    <t>Surface</t>
  </si>
  <si>
    <t>PU</t>
  </si>
  <si>
    <t>Qui</t>
  </si>
  <si>
    <t>Achats</t>
  </si>
  <si>
    <t>Coéfficient</t>
  </si>
  <si>
    <t>/</t>
  </si>
  <si>
    <t>LDO</t>
  </si>
  <si>
    <t>Hauteur</t>
  </si>
  <si>
    <t>PI</t>
  </si>
  <si>
    <t>PE</t>
  </si>
  <si>
    <t>PA</t>
  </si>
  <si>
    <t>Progi</t>
  </si>
  <si>
    <t>Nom du produit</t>
  </si>
  <si>
    <t>Plan</t>
  </si>
  <si>
    <t>190-429-1624B</t>
  </si>
  <si>
    <t>Plan d'ensemble</t>
  </si>
  <si>
    <t>Visuel</t>
  </si>
  <si>
    <t>Qté Affectée</t>
  </si>
  <si>
    <t>Coût Peinture Standard</t>
  </si>
  <si>
    <t>Public
au Coéf</t>
  </si>
  <si>
    <t>Choix</t>
  </si>
  <si>
    <t>Tarif
2017</t>
  </si>
  <si>
    <t>Coût PI</t>
  </si>
  <si>
    <t>Coût PE</t>
  </si>
  <si>
    <t>Coût PA</t>
  </si>
  <si>
    <t>F9</t>
  </si>
  <si>
    <t>Descriptif et Remarques</t>
  </si>
  <si>
    <t>Date</t>
  </si>
  <si>
    <t>/ m L</t>
  </si>
  <si>
    <t>Coût Unitaire Tôle ou Vitrage en Surface</t>
  </si>
  <si>
    <t>Coût d'Achat</t>
  </si>
  <si>
    <t>Unitaire</t>
  </si>
  <si>
    <t>Fournisseur</t>
  </si>
  <si>
    <t>Coût Unitaire de Peinture Standard du Profil</t>
  </si>
  <si>
    <t>Poteau</t>
  </si>
  <si>
    <t>Tétière poteau 70x70</t>
  </si>
  <si>
    <t>Embout de poteau 70x70</t>
  </si>
  <si>
    <t>Platine HG de poteau 70x70</t>
  </si>
  <si>
    <t>Appui platine HG de PI 70x70</t>
  </si>
  <si>
    <t>Remplissage</t>
  </si>
  <si>
    <t>Lame emboitable 130x20</t>
  </si>
  <si>
    <t>Lame emboitable 200x20</t>
  </si>
  <si>
    <t>Lame emboitable 290x20</t>
  </si>
  <si>
    <t>Extrémité lame 200x20</t>
  </si>
  <si>
    <t>Séparateur lame 200x20</t>
  </si>
  <si>
    <t>PA169-A</t>
  </si>
  <si>
    <t>PA179-C</t>
  </si>
  <si>
    <t>PA144</t>
  </si>
  <si>
    <t>PA168-A</t>
  </si>
  <si>
    <t>PA167-A</t>
  </si>
  <si>
    <t>PA166-A</t>
  </si>
  <si>
    <t>PA180-B</t>
  </si>
  <si>
    <t>PF644-A</t>
  </si>
  <si>
    <t>PF643-A</t>
  </si>
  <si>
    <t>PA171-A</t>
  </si>
  <si>
    <t>PA170-A</t>
  </si>
  <si>
    <t>Poteau 70x70</t>
  </si>
  <si>
    <t>PA143-B</t>
  </si>
  <si>
    <t>PA172-A</t>
  </si>
  <si>
    <t>Poteau angle</t>
  </si>
  <si>
    <t>Poteau Extrémité</t>
  </si>
  <si>
    <t>Poteau intermédiaire 70x70</t>
  </si>
  <si>
    <t>Adaptateur lame 200 - Tôle3 - HORIZONTALE bas tôle</t>
  </si>
  <si>
    <t>Adaptateur opposé lame 200 - Tôle3 - HORIZONTALE haut tôle</t>
  </si>
  <si>
    <r>
      <t xml:space="preserve">Ne rentre pas dans la catégorie GDC (chute inférieure à 1 m)
</t>
    </r>
    <r>
      <rPr>
        <b/>
        <u/>
        <sz val="10"/>
        <color indexed="10"/>
        <rFont val="Arial"/>
        <family val="2"/>
      </rPr>
      <t xml:space="preserve">CONTRAINTES : </t>
    </r>
    <r>
      <rPr>
        <sz val="10"/>
        <color indexed="10"/>
        <rFont val="Arial"/>
        <family val="2"/>
      </rPr>
      <t xml:space="preserve">
Hauteur maxi : 2 m
Largeur maxi : 2 m
Surface maxi : 2mx1.6m = 3.2 m²</t>
    </r>
  </si>
  <si>
    <t>CL CT …130-1</t>
  </si>
  <si>
    <t>PV</t>
  </si>
  <si>
    <t>Platine poteau 70x70 Epaisseur 8mm</t>
  </si>
  <si>
    <t>Platine poteau 70x70 Epaisseur 5mm</t>
  </si>
  <si>
    <t>PF645-A</t>
  </si>
  <si>
    <t>PF646-A</t>
  </si>
  <si>
    <t>Cheville M6 platine</t>
  </si>
  <si>
    <t>Vis st 5.5x16 tête fraisée (pour embout de poteau)</t>
  </si>
  <si>
    <t>Vis st 6.3x75 pour assemblage platine HG</t>
  </si>
  <si>
    <t>Cheville M8 platine</t>
  </si>
  <si>
    <t>Vis CHC M6x20 (pour assemblage platine A et B)</t>
  </si>
  <si>
    <t>Vis st 5.5x50 tête fraisée</t>
  </si>
  <si>
    <t>PF647-A</t>
  </si>
  <si>
    <t>Adaptateur lame 200 - Tôle3 - VERTICALE coté tôle</t>
  </si>
  <si>
    <t>Clip de PI 70x70
(calage 1ere lame et haut lame)</t>
  </si>
  <si>
    <t>Clip de PI 70x70
(toute hauteur)</t>
  </si>
  <si>
    <t>Platine 2.4</t>
  </si>
  <si>
    <t>Platine 1.6</t>
  </si>
  <si>
    <t>?</t>
  </si>
  <si>
    <t>Platine HG 3.2</t>
  </si>
  <si>
    <t>Largeur</t>
  </si>
  <si>
    <t>Formules</t>
  </si>
  <si>
    <t>Tôle</t>
  </si>
  <si>
    <t>Constante</t>
  </si>
  <si>
    <t>Constante
1.6</t>
  </si>
  <si>
    <t>Constante
2.4</t>
  </si>
  <si>
    <t>Constante
3.2</t>
  </si>
  <si>
    <t>(Hauteur +)
1.6</t>
  </si>
  <si>
    <t>(Hauteur +)
2.4</t>
  </si>
  <si>
    <t>(Hauteur +)
3.2</t>
  </si>
  <si>
    <t>(Largeur +)
1.6</t>
  </si>
  <si>
    <t>(Largeur +)
2.4</t>
  </si>
  <si>
    <t>(Largeur +)
3.2</t>
  </si>
  <si>
    <t>Coût Unitaire du Profil</t>
  </si>
  <si>
    <t>Coût au mêtre</t>
  </si>
  <si>
    <t>Coût Unitaire Tôle ou Vitrage
en Surface</t>
  </si>
  <si>
    <t>(Largeur +)</t>
  </si>
  <si>
    <t>(Hauteur +)</t>
  </si>
  <si>
    <t>Coût au mêtre
Lame</t>
  </si>
  <si>
    <t>Scellement</t>
  </si>
  <si>
    <t>Dimensions profil</t>
  </si>
  <si>
    <t>suivant la Hauteur</t>
  </si>
  <si>
    <t>suivant la Largeur</t>
  </si>
  <si>
    <t>Lame</t>
  </si>
  <si>
    <t>Séparateur</t>
  </si>
  <si>
    <t>Hauteur
posée</t>
  </si>
  <si>
    <t>Lame de 160</t>
  </si>
  <si>
    <t>LAME ouverte 160x28</t>
  </si>
  <si>
    <t>Lame ouverte 160x28</t>
  </si>
  <si>
    <t>X614-A</t>
  </si>
  <si>
    <t>Platine comprise</t>
  </si>
  <si>
    <t>Epaisseur Platine</t>
  </si>
  <si>
    <t>jeu haut clôture (dépassement poteau / 1ère lame)</t>
  </si>
  <si>
    <t>Qte lames/Trame</t>
  </si>
  <si>
    <t>Lame ALU 160 x 28 - Ajourée</t>
  </si>
  <si>
    <t>Hauteur
posée sur platine</t>
  </si>
  <si>
    <t>Lame ALU 160 x 28 - sans ajour</t>
  </si>
  <si>
    <t>Nombre de Trames</t>
  </si>
  <si>
    <t>Quantité closoirs</t>
  </si>
  <si>
    <t>Type de Fixation</t>
  </si>
  <si>
    <t>Finitions Partie Haute</t>
  </si>
  <si>
    <t>Hauteur Lame</t>
  </si>
  <si>
    <t>Longueur Lame - mm</t>
  </si>
  <si>
    <t>Hauteur Soubassement - mm</t>
  </si>
  <si>
    <t>Entraxe lame - Cloture Ajourée</t>
  </si>
  <si>
    <t>Entraxe lame - Cloture sans Ajour</t>
  </si>
  <si>
    <t>Type de Remplissage</t>
  </si>
  <si>
    <t>Quantité lames / Trame</t>
  </si>
  <si>
    <t>Quantité entretoises - Cloture SCELLEE</t>
  </si>
  <si>
    <t>&lt; 1201</t>
  </si>
  <si>
    <t>&lt; 1501</t>
  </si>
  <si>
    <t>&lt; 1601</t>
  </si>
  <si>
    <t>Hauteur posée calculée - mm</t>
  </si>
  <si>
    <t>Longueur Poteau souhaitée - mm</t>
  </si>
  <si>
    <t>Jeu  Bas sur Platine - mm</t>
  </si>
  <si>
    <t>Jeu Bas Scellé - mm</t>
  </si>
  <si>
    <t>&gt; 1600</t>
  </si>
  <si>
    <t>entraxe lames sélectionné :</t>
  </si>
  <si>
    <t>jeu bas sélectionné :</t>
  </si>
  <si>
    <t>Pas de lame</t>
  </si>
  <si>
    <t>Profondeur de Scellement conseillé :</t>
  </si>
  <si>
    <t>Finitions Partie Basse</t>
  </si>
  <si>
    <t>Choix du coloris</t>
  </si>
  <si>
    <t>Gris - 7016 FT</t>
  </si>
  <si>
    <t>Intercalaire</t>
  </si>
  <si>
    <t>Poteaux</t>
  </si>
  <si>
    <t>tôle</t>
  </si>
  <si>
    <t>Laser</t>
  </si>
  <si>
    <t>Closoir</t>
  </si>
  <si>
    <t>Embout</t>
  </si>
  <si>
    <t>Platine</t>
  </si>
  <si>
    <t>Prix Poteaux</t>
  </si>
  <si>
    <t>Prix Lame</t>
  </si>
  <si>
    <t>Prix embouts</t>
  </si>
  <si>
    <t>Prix Closoirs</t>
  </si>
  <si>
    <t>Prix platine</t>
  </si>
  <si>
    <t>Prix tôle</t>
  </si>
  <si>
    <t>Prix total</t>
  </si>
  <si>
    <t>Quantités à commander</t>
  </si>
  <si>
    <t xml:space="preserve">Quantité d' Embouts </t>
  </si>
  <si>
    <t xml:space="preserve">Quantité de Tôles </t>
  </si>
  <si>
    <t xml:space="preserve">Quantité de Platines </t>
  </si>
  <si>
    <t>Clôture PAM</t>
  </si>
  <si>
    <t xml:space="preserve"> Platine</t>
  </si>
  <si>
    <t xml:space="preserve">TARIF 2024 </t>
  </si>
  <si>
    <t>Ral std</t>
  </si>
  <si>
    <t>Couleur Tôle</t>
  </si>
  <si>
    <t>Motif Tôle</t>
  </si>
  <si>
    <t>Catégorie</t>
  </si>
  <si>
    <t>- COLORIS STANDARD ---------</t>
  </si>
  <si>
    <t>Bulle de savon</t>
  </si>
  <si>
    <t>Standard</t>
  </si>
  <si>
    <t>Rond en quinconce</t>
  </si>
  <si>
    <t>Gris Galet RAL 9006 FT</t>
  </si>
  <si>
    <t>Oblong en quinconce</t>
  </si>
  <si>
    <t>Ellipse</t>
  </si>
  <si>
    <t>Blanc Ral 9016 satiné</t>
  </si>
  <si>
    <t>Carré en ligne</t>
  </si>
  <si>
    <t>Gris clair Ral 7035 satiné</t>
  </si>
  <si>
    <t>Demi lune</t>
  </si>
  <si>
    <t>Ivoire clair Ral 1015 satiné</t>
  </si>
  <si>
    <t>Pixels</t>
  </si>
  <si>
    <t>Bleu canon satiné</t>
  </si>
  <si>
    <t>Tetris</t>
  </si>
  <si>
    <t>Lisse</t>
  </si>
  <si>
    <t>Rouge pourpre Ral 3004 FT</t>
  </si>
  <si>
    <t>Bambou</t>
  </si>
  <si>
    <t>Bleu saphyr Ral 5003 FT</t>
  </si>
  <si>
    <t>Bulles</t>
  </si>
  <si>
    <t>Bleu pastel Ral 5024 FT</t>
  </si>
  <si>
    <t>Courbes</t>
  </si>
  <si>
    <t>Vert mousse Ral 6005 FT</t>
  </si>
  <si>
    <t>Lignes</t>
  </si>
  <si>
    <t>Vert pâle Ral 6021 FT</t>
  </si>
  <si>
    <t>Liseré</t>
  </si>
  <si>
    <t>Gris beige Ral 7006 FT</t>
  </si>
  <si>
    <t>Ville</t>
  </si>
  <si>
    <t>Gris anthracite Ral 7016 FT</t>
  </si>
  <si>
    <t>Kyoto</t>
  </si>
  <si>
    <t>laser</t>
  </si>
  <si>
    <t>Gris terre d'ombre Ral 7022 FT</t>
  </si>
  <si>
    <t>Ondulation</t>
  </si>
  <si>
    <t>Gris poussière Ral 7037 FT</t>
  </si>
  <si>
    <t>Plume</t>
  </si>
  <si>
    <t>Gris quartz Ral 7039 FT</t>
  </si>
  <si>
    <t>Folk</t>
  </si>
  <si>
    <t>Brun gris Ral 8019 FT</t>
  </si>
  <si>
    <t>Trèfle</t>
  </si>
  <si>
    <t>Noir foncé Ral 9005 FT</t>
  </si>
  <si>
    <t>William</t>
  </si>
  <si>
    <t>Aluminium gris Ral 9007 FT</t>
  </si>
  <si>
    <t>Olea</t>
  </si>
  <si>
    <t>Nastus</t>
  </si>
  <si>
    <t>Gris 2900 sablé</t>
  </si>
  <si>
    <t>Feuillage</t>
  </si>
  <si>
    <t>Noir 2100 sablé</t>
  </si>
  <si>
    <t>Mars 2525 sablé</t>
  </si>
  <si>
    <t>Métro</t>
  </si>
  <si>
    <t>Rétro</t>
  </si>
  <si>
    <t>- COLORIS HORS STANDARD avec plus value---------</t>
  </si>
  <si>
    <t>Ral Hstd</t>
  </si>
  <si>
    <t>Dolmen</t>
  </si>
  <si>
    <t>Epis</t>
  </si>
  <si>
    <t>Moya</t>
  </si>
  <si>
    <t>Dune</t>
  </si>
  <si>
    <t>Mirage</t>
  </si>
  <si>
    <t>Jungle</t>
  </si>
  <si>
    <t>Kubik</t>
  </si>
  <si>
    <t>Galet</t>
  </si>
  <si>
    <t>Organic</t>
  </si>
  <si>
    <t>Tropic</t>
  </si>
  <si>
    <t>Polygones</t>
  </si>
  <si>
    <t>Savane</t>
  </si>
  <si>
    <t>Tressé</t>
  </si>
  <si>
    <t>Hylas</t>
  </si>
  <si>
    <r>
      <t xml:space="preserve">Quantités calculées </t>
    </r>
    <r>
      <rPr>
        <b/>
        <sz val="10"/>
        <rFont val="Calibri"/>
        <family val="2"/>
        <scheme val="minor"/>
      </rPr>
      <t>(débit réalisé par le poseur)</t>
    </r>
  </si>
  <si>
    <t>Quantité intercalaires - Cloture sur PLATINE</t>
  </si>
  <si>
    <t>Prix Intercalaires</t>
  </si>
  <si>
    <t>Quantité de sachets d' intercalaires</t>
  </si>
  <si>
    <r>
      <t xml:space="preserve">Calcul prix selon Quantité. </t>
    </r>
    <r>
      <rPr>
        <b/>
        <sz val="9"/>
        <rFont val="Calibri"/>
        <family val="2"/>
        <scheme val="minor"/>
      </rPr>
      <t>Tarif HT public</t>
    </r>
  </si>
  <si>
    <t>Néant</t>
  </si>
  <si>
    <r>
      <t>Caractéristiques techniques (</t>
    </r>
    <r>
      <rPr>
        <b/>
        <sz val="14"/>
        <color rgb="FFFF0000"/>
        <rFont val="Calibri"/>
        <family val="2"/>
        <scheme val="minor"/>
      </rPr>
      <t>ne pas modifier</t>
    </r>
    <r>
      <rPr>
        <b/>
        <sz val="14"/>
        <rFont val="Calibri"/>
        <family val="2"/>
        <scheme val="minor"/>
      </rPr>
      <t>)</t>
    </r>
  </si>
  <si>
    <t>CARACTERISTIQUES A RENSEIGNER</t>
  </si>
  <si>
    <t>Longueur poteau nécessaire</t>
  </si>
  <si>
    <t>Quantité poteaux possible / lg poteau</t>
  </si>
  <si>
    <t>Quantité Tôles souhaitée</t>
  </si>
  <si>
    <t>Quantité de vis</t>
  </si>
  <si>
    <t>Quantité de Poteaux entiers</t>
  </si>
  <si>
    <t>Quantité de Lames entières</t>
  </si>
  <si>
    <t>Quantité de Closoirs entiers</t>
  </si>
  <si>
    <t>Hauteur posée souhaitée - mm
Hauteur MAX conseillée sur platine : 1000</t>
  </si>
  <si>
    <t>Option Tôle Déco
Option possible si entraxe poteaux inf à 1600 :
modifier "entraxe poteaux"</t>
  </si>
  <si>
    <t>Répartition Homogène des lames
Oblige une découpe de toutes les Lames</t>
  </si>
  <si>
    <t>Non</t>
  </si>
  <si>
    <t>Longueur Lame (2000 mm MAX)
calculée selon "Entraxe Poteaux"</t>
  </si>
  <si>
    <t>Longueur totale cloture - mm</t>
  </si>
  <si>
    <t>Entraxe Poteaux Manuel (2051 mm MAX - Lame 2000)
Si Hauteur posée = ou &gt; à 1500 mm
→ réduire la largeur entre poteaux à 1500 mm</t>
  </si>
  <si>
    <t>Entraxe Poteaux Homogène
Si Hauteur posée = ou &gt; à 1500 mm
→ réduire la largeur entre poteaux à 1500 mm</t>
  </si>
  <si>
    <t>Quantité lames posées nécessaires</t>
  </si>
  <si>
    <t>Quantité poteaux posés nécessaires</t>
  </si>
  <si>
    <t>Entraxe MAXI calculé / Lg cloture</t>
  </si>
  <si>
    <t>Longueur Trame choisie</t>
  </si>
  <si>
    <t>Nombre de Trames Homogènes</t>
  </si>
  <si>
    <t>Longueur Lame dernière trame</t>
  </si>
  <si>
    <t>Entraxe dernière trame</t>
  </si>
  <si>
    <t xml:space="preserve">Profondeur de Scellement (minimum)  Conseillée </t>
  </si>
  <si>
    <t>Hauteur poteau hors-sol</t>
  </si>
  <si>
    <t>mm</t>
  </si>
  <si>
    <t>Hauteur posée poteau</t>
  </si>
  <si>
    <t>Nombre de trames</t>
  </si>
  <si>
    <t>Longueur à couvrir</t>
  </si>
  <si>
    <t>Scellé</t>
  </si>
  <si>
    <t>sur platine</t>
  </si>
  <si>
    <t>Dimension entraxe poteaux
trame de base</t>
  </si>
  <si>
    <t>Dimension entraxe poteaux
dernière trame</t>
  </si>
  <si>
    <t>Hauteur posée clôture</t>
  </si>
  <si>
    <t>sans Ajour</t>
  </si>
  <si>
    <t>à sceller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</si>
</sst>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€&quot;_-;\-* #,##0.00\ &quot;€&quot;_-;_-* &quot;-&quot;??\ &quot;€&quot;_-;_-@_-"/>
    <numFmt numFmtId="164" formatCode="#,##0.00\ &quot;€&quot;"/>
    <numFmt numFmtId="165" formatCode="0.0%"/>
    <numFmt numFmtId="166" formatCode="#,##0.00\ &quot;€&quot;\/\m"/>
    <numFmt numFmtId="167" formatCode="#,##0\ &quot;€&quot;\/\m"/>
    <numFmt numFmtId="168" formatCode="0\ \g\/\m"/>
    <numFmt numFmtId="169" formatCode="0.000\ \m\²\/\m"/>
    <numFmt numFmtId="170" formatCode="General\ \m\m"/>
    <numFmt numFmtId="171" formatCode="General\ \€\/\u"/>
    <numFmt numFmtId="172" formatCode="General\ \€\/\m\²"/>
    <numFmt numFmtId="173" formatCode="0.##\ \€\/\m"/>
    <numFmt numFmtId="174" formatCode="0.##\ \€\/\u"/>
    <numFmt numFmtId="175" formatCode="0.##\ \€\/\m\²"/>
    <numFmt numFmtId="176" formatCode="_-* #,##0\ [$€-40C]_-;\-* #,##0\ [$€-40C]_-;_-* &quot;-&quot;??\ [$€-40C]_-;_-@_-"/>
    <numFmt numFmtId="177" formatCode="_-* #,##0\ &quot;€&quot;_-;\-* #,##0\ &quot;€&quot;_-;_-* &quot;-&quot;??\ &quot;€&quot;_-;_-@_-"/>
    <numFmt numFmtId="178" formatCode="#,##0\ &quot;€&quot;"/>
  </numFmts>
  <fonts count="55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48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16"/>
      <name val="Arial"/>
      <family val="2"/>
    </font>
    <font>
      <sz val="12"/>
      <color indexed="47"/>
      <name val="Arial"/>
      <family val="2"/>
    </font>
    <font>
      <sz val="10"/>
      <color indexed="12"/>
      <name val="Arial"/>
      <family val="2"/>
    </font>
    <font>
      <sz val="12"/>
      <color indexed="53"/>
      <name val="Arial"/>
      <family val="2"/>
    </font>
    <font>
      <sz val="6"/>
      <name val="Arial"/>
      <family val="2"/>
    </font>
    <font>
      <b/>
      <sz val="12"/>
      <color indexed="12"/>
      <name val="Arial"/>
      <family val="2"/>
    </font>
    <font>
      <b/>
      <sz val="8"/>
      <color indexed="12"/>
      <name val="Arial"/>
      <family val="2"/>
    </font>
    <font>
      <sz val="12"/>
      <color indexed="12"/>
      <name val="Arial"/>
      <family val="2"/>
    </font>
    <font>
      <sz val="8"/>
      <color indexed="22"/>
      <name val="Arial"/>
      <family val="2"/>
    </font>
    <font>
      <sz val="8"/>
      <color indexed="22"/>
      <name val="Arial"/>
      <family val="2"/>
    </font>
    <font>
      <u/>
      <sz val="36"/>
      <color indexed="12"/>
      <name val="Arial"/>
      <family val="2"/>
    </font>
    <font>
      <sz val="10"/>
      <color indexed="10"/>
      <name val="Arial"/>
      <family val="2"/>
    </font>
    <font>
      <b/>
      <u/>
      <sz val="10"/>
      <color indexed="10"/>
      <name val="Arial"/>
      <family val="2"/>
    </font>
    <font>
      <sz val="16"/>
      <name val="Arial"/>
      <family val="2"/>
    </font>
    <font>
      <sz val="12"/>
      <name val="Calibri"/>
      <family val="2"/>
      <scheme val="minor"/>
    </font>
    <font>
      <sz val="8"/>
      <color indexed="22"/>
      <name val="Calibri"/>
      <family val="2"/>
      <scheme val="minor"/>
    </font>
    <font>
      <u/>
      <sz val="36"/>
      <color indexed="12"/>
      <name val="Calibri"/>
      <family val="2"/>
      <scheme val="minor"/>
    </font>
    <font>
      <sz val="10"/>
      <color indexed="12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sz val="12"/>
      <color indexed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indexed="12"/>
      <name val="Calibri"/>
      <family val="2"/>
      <scheme val="minor"/>
    </font>
    <font>
      <sz val="16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0"/>
      <color rgb="FFFF0000"/>
      <name val="Calibri"/>
      <family val="2"/>
      <scheme val="minor"/>
    </font>
    <font>
      <sz val="4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 tint="0.499984740745262"/>
      <name val="Arial"/>
      <family val="2"/>
    </font>
    <font>
      <sz val="9"/>
      <name val="Arial"/>
      <family val="2"/>
    </font>
    <font>
      <b/>
      <sz val="9"/>
      <name val="Calibri"/>
      <family val="2"/>
      <scheme val="minor"/>
    </font>
    <font>
      <sz val="9"/>
      <color indexed="81"/>
      <name val="Tahoma"/>
      <charset val="1"/>
    </font>
    <font>
      <b/>
      <sz val="10"/>
      <color theme="8"/>
      <name val="Calibri"/>
      <family val="2"/>
      <scheme val="minor"/>
    </font>
    <font>
      <sz val="10"/>
      <color theme="8"/>
      <name val="Calibri"/>
      <family val="2"/>
      <scheme val="minor"/>
    </font>
    <font>
      <b/>
      <sz val="10"/>
      <color theme="4" tint="-0.249977111117893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31">
    <border>
      <left/>
      <right/>
      <top/>
      <bottom/>
      <diagonal/>
    </border>
    <border>
      <left style="medium">
        <color indexed="64"/>
      </left>
      <right style="dotted">
        <color indexed="2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22"/>
      </right>
      <top style="medium">
        <color indexed="64"/>
      </top>
      <bottom style="thin">
        <color indexed="64"/>
      </bottom>
      <diagonal/>
    </border>
    <border>
      <left style="dotted">
        <color indexed="22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22"/>
      </left>
      <right style="dotted">
        <color indexed="22"/>
      </right>
      <top style="thin">
        <color indexed="64"/>
      </top>
      <bottom style="thin">
        <color indexed="64"/>
      </bottom>
      <diagonal/>
    </border>
    <border>
      <left style="dotted">
        <color indexed="2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22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22"/>
      </right>
      <top style="thin">
        <color indexed="64"/>
      </top>
      <bottom style="medium">
        <color indexed="64"/>
      </bottom>
      <diagonal/>
    </border>
    <border>
      <left style="dotted">
        <color indexed="22"/>
      </left>
      <right style="dotted">
        <color indexed="22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22"/>
      </left>
      <right/>
      <top style="thin">
        <color indexed="64"/>
      </top>
      <bottom style="medium">
        <color indexed="64"/>
      </bottom>
      <diagonal/>
    </border>
    <border>
      <left style="dotted">
        <color indexed="2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22"/>
      </left>
      <right style="dotted">
        <color indexed="22"/>
      </right>
      <top style="medium">
        <color indexed="64"/>
      </top>
      <bottom style="thin">
        <color indexed="64"/>
      </bottom>
      <diagonal/>
    </border>
    <border>
      <left style="dotted">
        <color indexed="22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22"/>
      </right>
      <top/>
      <bottom/>
      <diagonal/>
    </border>
    <border>
      <left style="thin">
        <color indexed="64"/>
      </left>
      <right style="dotted">
        <color indexed="22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22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22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22"/>
      </right>
      <top style="thin">
        <color indexed="64"/>
      </top>
      <bottom/>
      <diagonal/>
    </border>
    <border>
      <left style="dotted">
        <color indexed="22"/>
      </left>
      <right style="dotted">
        <color indexed="22"/>
      </right>
      <top style="thin">
        <color indexed="64"/>
      </top>
      <bottom/>
      <diagonal/>
    </border>
    <border>
      <left style="dotted">
        <color indexed="22"/>
      </left>
      <right style="medium">
        <color indexed="64"/>
      </right>
      <top style="thin">
        <color indexed="64"/>
      </top>
      <bottom/>
      <diagonal/>
    </border>
    <border>
      <left/>
      <right style="dotted">
        <color indexed="22"/>
      </right>
      <top style="thin">
        <color indexed="64"/>
      </top>
      <bottom/>
      <diagonal/>
    </border>
    <border>
      <left/>
      <right style="dotted">
        <color indexed="22"/>
      </right>
      <top style="thin">
        <color indexed="64"/>
      </top>
      <bottom style="medium">
        <color indexed="64"/>
      </bottom>
      <diagonal/>
    </border>
    <border>
      <left/>
      <right style="dotted">
        <color indexed="22"/>
      </right>
      <top style="medium">
        <color indexed="64"/>
      </top>
      <bottom style="thin">
        <color indexed="64"/>
      </bottom>
      <diagonal/>
    </border>
    <border>
      <left style="dotted">
        <color indexed="22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55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55"/>
      </right>
      <top style="thin">
        <color indexed="64"/>
      </top>
      <bottom style="thin">
        <color indexed="64"/>
      </bottom>
      <diagonal/>
    </border>
    <border>
      <left style="dashed">
        <color indexed="55"/>
      </left>
      <right style="dashed">
        <color indexed="55"/>
      </right>
      <top style="thin">
        <color indexed="64"/>
      </top>
      <bottom style="thin">
        <color indexed="64"/>
      </bottom>
      <diagonal/>
    </border>
    <border>
      <left style="dashed">
        <color indexed="55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55"/>
      </right>
      <top/>
      <bottom style="thin">
        <color indexed="64"/>
      </bottom>
      <diagonal/>
    </border>
    <border>
      <left style="dashed">
        <color indexed="55"/>
      </left>
      <right style="dashed">
        <color indexed="55"/>
      </right>
      <top/>
      <bottom style="thin">
        <color indexed="64"/>
      </bottom>
      <diagonal/>
    </border>
    <border>
      <left style="dashed">
        <color indexed="55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55"/>
      </right>
      <top style="medium">
        <color indexed="64"/>
      </top>
      <bottom style="medium">
        <color indexed="64"/>
      </bottom>
      <diagonal/>
    </border>
    <border>
      <left style="dashed">
        <color indexed="55"/>
      </left>
      <right style="dashed">
        <color indexed="55"/>
      </right>
      <top style="medium">
        <color indexed="64"/>
      </top>
      <bottom style="medium">
        <color indexed="64"/>
      </bottom>
      <diagonal/>
    </border>
    <border>
      <left style="dashed">
        <color indexed="55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55"/>
      </left>
      <right style="dashed">
        <color indexed="55"/>
      </right>
      <top style="medium">
        <color indexed="64"/>
      </top>
      <bottom style="thin">
        <color indexed="64"/>
      </bottom>
      <diagonal/>
    </border>
    <border>
      <left style="dashed">
        <color indexed="55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55"/>
      </right>
      <top style="thin">
        <color indexed="64"/>
      </top>
      <bottom style="medium">
        <color indexed="64"/>
      </bottom>
      <diagonal/>
    </border>
    <border>
      <left style="dashed">
        <color indexed="55"/>
      </left>
      <right style="dashed">
        <color indexed="55"/>
      </right>
      <top style="thin">
        <color indexed="64"/>
      </top>
      <bottom style="medium">
        <color indexed="64"/>
      </bottom>
      <diagonal/>
    </border>
    <border>
      <left style="dashed">
        <color indexed="55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55"/>
      </right>
      <top style="medium">
        <color indexed="64"/>
      </top>
      <bottom/>
      <diagonal/>
    </border>
    <border>
      <left style="dashed">
        <color indexed="55"/>
      </left>
      <right style="dashed">
        <color indexed="55"/>
      </right>
      <top style="medium">
        <color indexed="64"/>
      </top>
      <bottom/>
      <diagonal/>
    </border>
    <border>
      <left style="dashed">
        <color indexed="55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55"/>
      </right>
      <top/>
      <bottom style="medium">
        <color indexed="64"/>
      </bottom>
      <diagonal/>
    </border>
    <border>
      <left style="dashed">
        <color indexed="55"/>
      </left>
      <right style="dashed">
        <color indexed="55"/>
      </right>
      <top/>
      <bottom style="medium">
        <color indexed="64"/>
      </bottom>
      <diagonal/>
    </border>
    <border>
      <left style="dashed">
        <color indexed="55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22"/>
      </right>
      <top/>
      <bottom/>
      <diagonal/>
    </border>
    <border>
      <left style="medium">
        <color indexed="64"/>
      </left>
      <right style="dotted">
        <color indexed="22"/>
      </right>
      <top style="medium">
        <color indexed="64"/>
      </top>
      <bottom/>
      <diagonal/>
    </border>
    <border>
      <left/>
      <right style="dotted">
        <color indexed="22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tted">
        <color indexed="22"/>
      </left>
      <right style="dotted">
        <color indexed="22"/>
      </right>
      <top style="medium">
        <color indexed="64"/>
      </top>
      <bottom/>
      <diagonal/>
    </border>
    <border>
      <left style="dotted">
        <color indexed="22"/>
      </left>
      <right style="medium">
        <color indexed="64"/>
      </right>
      <top style="medium">
        <color indexed="64"/>
      </top>
      <bottom/>
      <diagonal/>
    </border>
    <border>
      <left style="dotted">
        <color indexed="22"/>
      </left>
      <right/>
      <top style="medium">
        <color indexed="64"/>
      </top>
      <bottom/>
      <diagonal/>
    </border>
    <border>
      <left/>
      <right/>
      <top/>
      <bottom style="dotted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tted">
        <color indexed="22"/>
      </right>
      <top style="medium">
        <color indexed="64"/>
      </top>
      <bottom style="medium">
        <color indexed="64"/>
      </bottom>
      <diagonal/>
    </border>
    <border>
      <left style="dotted">
        <color indexed="22"/>
      </left>
      <right style="dotted">
        <color indexed="22"/>
      </right>
      <top style="medium">
        <color indexed="64"/>
      </top>
      <bottom style="medium">
        <color indexed="64"/>
      </bottom>
      <diagonal/>
    </border>
    <border>
      <left style="dotted">
        <color indexed="2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22"/>
      </right>
      <top style="medium">
        <color indexed="64"/>
      </top>
      <bottom style="medium">
        <color indexed="64"/>
      </bottom>
      <diagonal/>
    </border>
    <border>
      <left style="dotted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22"/>
      </left>
      <right/>
      <top style="dotted">
        <color indexed="22"/>
      </top>
      <bottom/>
      <diagonal/>
    </border>
    <border>
      <left/>
      <right/>
      <top style="dotted">
        <color indexed="22"/>
      </top>
      <bottom/>
      <diagonal/>
    </border>
    <border>
      <left/>
      <right style="dotted">
        <color indexed="22"/>
      </right>
      <top style="dotted">
        <color indexed="22"/>
      </top>
      <bottom/>
      <diagonal/>
    </border>
    <border>
      <left style="dotted">
        <color indexed="22"/>
      </left>
      <right/>
      <top/>
      <bottom style="dotted">
        <color indexed="22"/>
      </bottom>
      <diagonal/>
    </border>
    <border>
      <left/>
      <right style="dotted">
        <color indexed="22"/>
      </right>
      <top/>
      <bottom style="dotted">
        <color indexed="2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22"/>
      </left>
      <right style="medium">
        <color indexed="64"/>
      </right>
      <top/>
      <bottom/>
      <diagonal/>
    </border>
    <border>
      <left style="dotted">
        <color indexed="22"/>
      </left>
      <right style="dotted">
        <color indexed="22"/>
      </right>
      <top/>
      <bottom/>
      <diagonal/>
    </border>
    <border>
      <left/>
      <right/>
      <top style="medium">
        <color indexed="64"/>
      </top>
      <bottom style="dashed">
        <color indexed="55"/>
      </bottom>
      <diagonal/>
    </border>
    <border>
      <left/>
      <right style="medium">
        <color indexed="64"/>
      </right>
      <top style="medium">
        <color indexed="64"/>
      </top>
      <bottom style="dashed">
        <color indexed="55"/>
      </bottom>
      <diagonal/>
    </border>
    <border>
      <left style="medium">
        <color indexed="64"/>
      </left>
      <right/>
      <top style="medium">
        <color indexed="64"/>
      </top>
      <bottom style="dotted">
        <color indexed="55"/>
      </bottom>
      <diagonal/>
    </border>
    <border>
      <left/>
      <right/>
      <top style="medium">
        <color indexed="64"/>
      </top>
      <bottom style="dotted">
        <color indexed="55"/>
      </bottom>
      <diagonal/>
    </border>
    <border>
      <left/>
      <right style="medium">
        <color indexed="64"/>
      </right>
      <top style="medium">
        <color indexed="64"/>
      </top>
      <bottom style="dotted">
        <color indexed="55"/>
      </bottom>
      <diagonal/>
    </border>
    <border>
      <left/>
      <right/>
      <top style="thin">
        <color indexed="64"/>
      </top>
      <bottom style="dotted">
        <color indexed="55"/>
      </bottom>
      <diagonal/>
    </border>
    <border>
      <left/>
      <right style="medium">
        <color indexed="64"/>
      </right>
      <top style="thin">
        <color indexed="64"/>
      </top>
      <bottom style="dotted">
        <color indexed="55"/>
      </bottom>
      <diagonal/>
    </border>
    <border>
      <left style="medium">
        <color indexed="64"/>
      </left>
      <right style="dashed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dashed">
        <color theme="0" tint="-0.24994659260841701"/>
      </left>
      <right style="dashed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dashed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4" fontId="41" fillId="0" borderId="0" applyFont="0" applyFill="0" applyBorder="0" applyAlignment="0" applyProtection="0"/>
  </cellStyleXfs>
  <cellXfs count="647">
    <xf numFmtId="0" fontId="0" fillId="0" borderId="0" xfId="0"/>
    <xf numFmtId="2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2" borderId="3" xfId="0" quotePrefix="1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164" fontId="4" fillId="2" borderId="5" xfId="0" quotePrefix="1" applyNumberFormat="1" applyFont="1" applyFill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70" fontId="4" fillId="0" borderId="0" xfId="0" applyNumberFormat="1" applyFont="1" applyAlignment="1">
      <alignment horizontal="center" vertical="center"/>
    </xf>
    <xf numFmtId="168" fontId="4" fillId="0" borderId="0" xfId="0" quotePrefix="1" applyNumberFormat="1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69" fontId="4" fillId="0" borderId="0" xfId="0" quotePrefix="1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172" fontId="10" fillId="0" borderId="4" xfId="0" quotePrefix="1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0" xfId="0" quotePrefix="1" applyFont="1" applyBorder="1" applyAlignment="1">
      <alignment horizontal="center" vertical="center" wrapText="1"/>
    </xf>
    <xf numFmtId="164" fontId="4" fillId="2" borderId="11" xfId="0" quotePrefix="1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4" fontId="4" fillId="0" borderId="0" xfId="0" applyNumberFormat="1" applyFont="1" applyAlignment="1">
      <alignment horizontal="left" vertical="center"/>
    </xf>
    <xf numFmtId="171" fontId="4" fillId="0" borderId="4" xfId="0" applyNumberFormat="1" applyFont="1" applyBorder="1" applyAlignment="1">
      <alignment horizontal="center" vertical="center"/>
    </xf>
    <xf numFmtId="171" fontId="12" fillId="0" borderId="12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1" xfId="0" quotePrefix="1" applyFont="1" applyBorder="1" applyAlignment="1">
      <alignment horizontal="center" vertical="center"/>
    </xf>
    <xf numFmtId="0" fontId="16" fillId="0" borderId="6" xfId="0" quotePrefix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7" xfId="0" quotePrefix="1" applyFont="1" applyBorder="1" applyAlignment="1">
      <alignment horizontal="center" vertical="center"/>
    </xf>
    <xf numFmtId="0" fontId="16" fillId="0" borderId="10" xfId="0" quotePrefix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6" fillId="0" borderId="4" xfId="0" quotePrefix="1" applyFont="1" applyBorder="1" applyAlignment="1">
      <alignment horizontal="center" vertical="center" wrapText="1"/>
    </xf>
    <xf numFmtId="0" fontId="16" fillId="0" borderId="8" xfId="0" quotePrefix="1" applyFont="1" applyBorder="1" applyAlignment="1">
      <alignment horizontal="center" vertical="center" wrapText="1"/>
    </xf>
    <xf numFmtId="14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11" fillId="0" borderId="0" xfId="0" applyFont="1" applyAlignment="1">
      <alignment vertical="center" wrapText="1"/>
    </xf>
    <xf numFmtId="170" fontId="4" fillId="0" borderId="14" xfId="0" applyNumberFormat="1" applyFont="1" applyBorder="1" applyAlignment="1">
      <alignment horizontal="center" vertical="center"/>
    </xf>
    <xf numFmtId="168" fontId="4" fillId="0" borderId="15" xfId="0" quotePrefix="1" applyNumberFormat="1" applyFont="1" applyBorder="1" applyAlignment="1">
      <alignment horizontal="center" vertical="center"/>
    </xf>
    <xf numFmtId="168" fontId="4" fillId="0" borderId="16" xfId="0" quotePrefix="1" applyNumberFormat="1" applyFont="1" applyBorder="1" applyAlignment="1">
      <alignment horizontal="center" vertical="center"/>
    </xf>
    <xf numFmtId="168" fontId="4" fillId="0" borderId="17" xfId="0" quotePrefix="1" applyNumberFormat="1" applyFont="1" applyBorder="1" applyAlignment="1">
      <alignment horizontal="center" vertical="center"/>
    </xf>
    <xf numFmtId="169" fontId="4" fillId="0" borderId="3" xfId="0" quotePrefix="1" applyNumberFormat="1" applyFont="1" applyBorder="1" applyAlignment="1">
      <alignment horizontal="center" vertical="center"/>
    </xf>
    <xf numFmtId="169" fontId="4" fillId="0" borderId="5" xfId="0" quotePrefix="1" applyNumberFormat="1" applyFont="1" applyBorder="1" applyAlignment="1">
      <alignment horizontal="center" vertical="center"/>
    </xf>
    <xf numFmtId="169" fontId="4" fillId="0" borderId="11" xfId="0" quotePrefix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164" fontId="4" fillId="2" borderId="18" xfId="0" applyNumberFormat="1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166" fontId="4" fillId="4" borderId="19" xfId="0" applyNumberFormat="1" applyFont="1" applyFill="1" applyBorder="1" applyAlignment="1">
      <alignment horizontal="center" vertical="center"/>
    </xf>
    <xf numFmtId="166" fontId="1" fillId="4" borderId="20" xfId="0" applyNumberFormat="1" applyFont="1" applyFill="1" applyBorder="1" applyAlignment="1">
      <alignment horizontal="center" vertical="center"/>
    </xf>
    <xf numFmtId="167" fontId="4" fillId="5" borderId="19" xfId="0" applyNumberFormat="1" applyFont="1" applyFill="1" applyBorder="1" applyAlignment="1">
      <alignment horizontal="center" vertical="center"/>
    </xf>
    <xf numFmtId="166" fontId="1" fillId="5" borderId="20" xfId="0" applyNumberFormat="1" applyFont="1" applyFill="1" applyBorder="1" applyAlignment="1">
      <alignment horizontal="center" vertical="center"/>
    </xf>
    <xf numFmtId="167" fontId="4" fillId="6" borderId="19" xfId="0" applyNumberFormat="1" applyFont="1" applyFill="1" applyBorder="1" applyAlignment="1">
      <alignment horizontal="center" vertical="center"/>
    </xf>
    <xf numFmtId="166" fontId="3" fillId="6" borderId="20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170" fontId="17" fillId="0" borderId="0" xfId="0" applyNumberFormat="1" applyFont="1" applyAlignment="1">
      <alignment vertical="center"/>
    </xf>
    <xf numFmtId="0" fontId="19" fillId="0" borderId="0" xfId="2" applyFont="1" applyAlignment="1" applyProtection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16" fillId="0" borderId="12" xfId="0" quotePrefix="1" applyFont="1" applyBorder="1" applyAlignment="1">
      <alignment horizontal="center" vertical="center" wrapText="1"/>
    </xf>
    <xf numFmtId="0" fontId="16" fillId="0" borderId="13" xfId="0" quotePrefix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quotePrefix="1" applyFont="1" applyAlignment="1">
      <alignment horizontal="center" vertical="center"/>
    </xf>
    <xf numFmtId="0" fontId="16" fillId="0" borderId="0" xfId="0" quotePrefix="1" applyFont="1" applyAlignment="1">
      <alignment horizontal="center" vertical="center"/>
    </xf>
    <xf numFmtId="0" fontId="16" fillId="0" borderId="0" xfId="0" quotePrefix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72" fontId="10" fillId="0" borderId="8" xfId="0" quotePrefix="1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70" fontId="4" fillId="7" borderId="0" xfId="0" applyNumberFormat="1" applyFont="1" applyFill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169" fontId="4" fillId="0" borderId="21" xfId="0" quotePrefix="1" applyNumberFormat="1" applyFont="1" applyBorder="1" applyAlignment="1">
      <alignment horizontal="center" vertical="center"/>
    </xf>
    <xf numFmtId="14" fontId="4" fillId="0" borderId="21" xfId="0" applyNumberFormat="1" applyFont="1" applyBorder="1" applyAlignment="1">
      <alignment vertical="center"/>
    </xf>
    <xf numFmtId="0" fontId="4" fillId="7" borderId="0" xfId="0" applyFont="1" applyFill="1" applyAlignment="1">
      <alignment horizontal="center" vertical="center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/>
    </xf>
    <xf numFmtId="2" fontId="4" fillId="0" borderId="24" xfId="0" applyNumberFormat="1" applyFont="1" applyBorder="1" applyAlignment="1">
      <alignment horizontal="center" vertical="center"/>
    </xf>
    <xf numFmtId="2" fontId="4" fillId="0" borderId="25" xfId="0" applyNumberFormat="1" applyFont="1" applyBorder="1" applyAlignment="1">
      <alignment horizontal="center" vertical="center"/>
    </xf>
    <xf numFmtId="164" fontId="4" fillId="0" borderId="24" xfId="0" applyNumberFormat="1" applyFont="1" applyBorder="1" applyAlignment="1">
      <alignment horizontal="center" vertical="center"/>
    </xf>
    <xf numFmtId="164" fontId="4" fillId="2" borderId="26" xfId="0" quotePrefix="1" applyNumberFormat="1" applyFont="1" applyFill="1" applyBorder="1" applyAlignment="1">
      <alignment horizontal="center" vertical="center"/>
    </xf>
    <xf numFmtId="172" fontId="10" fillId="0" borderId="25" xfId="0" quotePrefix="1" applyNumberFormat="1" applyFont="1" applyBorder="1" applyAlignment="1">
      <alignment horizontal="center" vertical="center"/>
    </xf>
    <xf numFmtId="0" fontId="4" fillId="8" borderId="1" xfId="0" applyFont="1" applyFill="1" applyBorder="1" applyAlignment="1">
      <alignment horizontal="left" vertical="center" wrapText="1"/>
    </xf>
    <xf numFmtId="0" fontId="4" fillId="8" borderId="4" xfId="0" applyFont="1" applyFill="1" applyBorder="1" applyAlignment="1">
      <alignment vertical="center" wrapText="1"/>
    </xf>
    <xf numFmtId="0" fontId="4" fillId="8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quotePrefix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2" fontId="4" fillId="0" borderId="25" xfId="0" quotePrefix="1" applyNumberFormat="1" applyFont="1" applyBorder="1" applyAlignment="1">
      <alignment horizontal="center" vertical="center"/>
    </xf>
    <xf numFmtId="2" fontId="4" fillId="0" borderId="26" xfId="0" quotePrefix="1" applyNumberFormat="1" applyFont="1" applyBorder="1" applyAlignment="1">
      <alignment horizontal="center" vertical="center"/>
    </xf>
    <xf numFmtId="2" fontId="4" fillId="0" borderId="8" xfId="0" quotePrefix="1" applyNumberFormat="1" applyFont="1" applyBorder="1" applyAlignment="1">
      <alignment horizontal="center" vertical="center"/>
    </xf>
    <xf numFmtId="2" fontId="4" fillId="0" borderId="11" xfId="0" quotePrefix="1" applyNumberFormat="1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2" fontId="4" fillId="0" borderId="27" xfId="0" applyNumberFormat="1" applyFont="1" applyBorder="1" applyAlignment="1">
      <alignment horizontal="center" vertical="center"/>
    </xf>
    <xf numFmtId="2" fontId="4" fillId="0" borderId="28" xfId="0" applyNumberFormat="1" applyFont="1" applyBorder="1" applyAlignment="1">
      <alignment horizontal="center" vertical="center"/>
    </xf>
    <xf numFmtId="2" fontId="4" fillId="0" borderId="29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30" xfId="0" quotePrefix="1" applyNumberFormat="1" applyFont="1" applyBorder="1" applyAlignment="1">
      <alignment horizontal="center" vertical="center"/>
    </xf>
    <xf numFmtId="2" fontId="7" fillId="0" borderId="30" xfId="0" quotePrefix="1" applyNumberFormat="1" applyFont="1" applyBorder="1" applyAlignment="1">
      <alignment horizontal="center" vertical="center"/>
    </xf>
    <xf numFmtId="2" fontId="4" fillId="0" borderId="10" xfId="0" quotePrefix="1" applyNumberFormat="1" applyFont="1" applyBorder="1" applyAlignment="1">
      <alignment horizontal="center" vertical="center"/>
    </xf>
    <xf numFmtId="2" fontId="4" fillId="0" borderId="31" xfId="0" applyNumberFormat="1" applyFont="1" applyBorder="1" applyAlignment="1">
      <alignment horizontal="center" vertical="center"/>
    </xf>
    <xf numFmtId="2" fontId="4" fillId="0" borderId="32" xfId="0" applyNumberFormat="1" applyFont="1" applyBorder="1" applyAlignment="1">
      <alignment horizontal="center" vertical="center"/>
    </xf>
    <xf numFmtId="2" fontId="4" fillId="0" borderId="33" xfId="0" applyNumberFormat="1" applyFont="1" applyBorder="1" applyAlignment="1">
      <alignment horizontal="center" vertical="center"/>
    </xf>
    <xf numFmtId="2" fontId="4" fillId="0" borderId="31" xfId="0" quotePrefix="1" applyNumberFormat="1" applyFont="1" applyBorder="1" applyAlignment="1">
      <alignment horizontal="center" vertical="center"/>
    </xf>
    <xf numFmtId="2" fontId="7" fillId="0" borderId="31" xfId="0" quotePrefix="1" applyNumberFormat="1" applyFont="1" applyBorder="1" applyAlignment="1">
      <alignment horizontal="center" vertical="center"/>
    </xf>
    <xf numFmtId="2" fontId="4" fillId="0" borderId="32" xfId="0" quotePrefix="1" applyNumberFormat="1" applyFont="1" applyBorder="1" applyAlignment="1">
      <alignment horizontal="center" vertical="center"/>
    </xf>
    <xf numFmtId="2" fontId="4" fillId="0" borderId="26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2" fontId="4" fillId="0" borderId="24" xfId="0" quotePrefix="1" applyNumberFormat="1" applyFont="1" applyBorder="1" applyAlignment="1">
      <alignment horizontal="center" vertical="center"/>
    </xf>
    <xf numFmtId="2" fontId="4" fillId="0" borderId="7" xfId="0" quotePrefix="1" applyNumberFormat="1" applyFont="1" applyBorder="1" applyAlignment="1">
      <alignment horizontal="center" vertical="center"/>
    </xf>
    <xf numFmtId="2" fontId="7" fillId="0" borderId="24" xfId="0" quotePrefix="1" applyNumberFormat="1" applyFont="1" applyBorder="1" applyAlignment="1">
      <alignment horizontal="center" vertical="center"/>
    </xf>
    <xf numFmtId="2" fontId="7" fillId="0" borderId="26" xfId="0" quotePrefix="1" applyNumberFormat="1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4" xfId="0" applyFont="1" applyFill="1" applyBorder="1" applyAlignment="1">
      <alignment vertical="center" wrapText="1"/>
    </xf>
    <xf numFmtId="0" fontId="4" fillId="9" borderId="4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left" vertical="center" wrapText="1"/>
    </xf>
    <xf numFmtId="0" fontId="7" fillId="10" borderId="4" xfId="0" applyFont="1" applyFill="1" applyBorder="1" applyAlignment="1">
      <alignment vertical="center" wrapText="1"/>
    </xf>
    <xf numFmtId="0" fontId="4" fillId="10" borderId="4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left" vertical="center" wrapText="1"/>
    </xf>
    <xf numFmtId="0" fontId="4" fillId="11" borderId="4" xfId="0" applyFont="1" applyFill="1" applyBorder="1" applyAlignment="1">
      <alignment vertical="center" wrapText="1"/>
    </xf>
    <xf numFmtId="0" fontId="4" fillId="11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4" fillId="12" borderId="1" xfId="0" applyFont="1" applyFill="1" applyBorder="1" applyAlignment="1">
      <alignment horizontal="left" vertical="center" wrapText="1"/>
    </xf>
    <xf numFmtId="0" fontId="4" fillId="12" borderId="4" xfId="0" applyFont="1" applyFill="1" applyBorder="1" applyAlignment="1">
      <alignment vertical="center" wrapText="1"/>
    </xf>
    <xf numFmtId="0" fontId="4" fillId="12" borderId="12" xfId="0" applyFont="1" applyFill="1" applyBorder="1" applyAlignment="1">
      <alignment horizontal="center" vertical="center"/>
    </xf>
    <xf numFmtId="0" fontId="4" fillId="12" borderId="4" xfId="0" applyFont="1" applyFill="1" applyBorder="1" applyAlignment="1">
      <alignment horizontal="center" vertical="center"/>
    </xf>
    <xf numFmtId="0" fontId="4" fillId="0" borderId="34" xfId="0" quotePrefix="1" applyFont="1" applyBorder="1" applyAlignment="1">
      <alignment horizontal="center" vertical="center"/>
    </xf>
    <xf numFmtId="0" fontId="4" fillId="0" borderId="35" xfId="0" quotePrefix="1" applyFont="1" applyBorder="1" applyAlignment="1">
      <alignment horizontal="center" vertical="center"/>
    </xf>
    <xf numFmtId="0" fontId="4" fillId="0" borderId="36" xfId="0" quotePrefix="1" applyFont="1" applyBorder="1" applyAlignment="1">
      <alignment horizontal="center" vertical="center"/>
    </xf>
    <xf numFmtId="0" fontId="4" fillId="0" borderId="37" xfId="0" quotePrefix="1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/>
    </xf>
    <xf numFmtId="0" fontId="4" fillId="0" borderId="39" xfId="0" quotePrefix="1" applyFont="1" applyBorder="1" applyAlignment="1">
      <alignment horizontal="center" vertical="center"/>
    </xf>
    <xf numFmtId="0" fontId="4" fillId="0" borderId="40" xfId="0" quotePrefix="1" applyFont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4" fillId="0" borderId="44" xfId="0" quotePrefix="1" applyFont="1" applyBorder="1" applyAlignment="1">
      <alignment horizontal="center" vertical="center"/>
    </xf>
    <xf numFmtId="0" fontId="4" fillId="0" borderId="45" xfId="0" quotePrefix="1" applyFont="1" applyBorder="1" applyAlignment="1">
      <alignment horizontal="center" vertical="center"/>
    </xf>
    <xf numFmtId="0" fontId="4" fillId="0" borderId="46" xfId="0" quotePrefix="1" applyFont="1" applyBorder="1" applyAlignment="1">
      <alignment horizontal="center" vertical="center"/>
    </xf>
    <xf numFmtId="0" fontId="4" fillId="0" borderId="47" xfId="0" quotePrefix="1" applyFont="1" applyBorder="1" applyAlignment="1">
      <alignment horizontal="center" vertical="center"/>
    </xf>
    <xf numFmtId="0" fontId="4" fillId="0" borderId="48" xfId="0" quotePrefix="1" applyFont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4" fillId="0" borderId="52" xfId="0" quotePrefix="1" applyFont="1" applyBorder="1" applyAlignment="1">
      <alignment horizontal="center" vertical="center"/>
    </xf>
    <xf numFmtId="0" fontId="4" fillId="0" borderId="53" xfId="0" quotePrefix="1" applyFont="1" applyBorder="1" applyAlignment="1">
      <alignment horizontal="center" vertical="center"/>
    </xf>
    <xf numFmtId="0" fontId="4" fillId="0" borderId="54" xfId="0" quotePrefix="1" applyFont="1" applyBorder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/>
    </xf>
    <xf numFmtId="2" fontId="8" fillId="3" borderId="55" xfId="0" applyNumberFormat="1" applyFont="1" applyFill="1" applyBorder="1" applyAlignment="1">
      <alignment horizontal="center" vertical="center"/>
    </xf>
    <xf numFmtId="173" fontId="4" fillId="0" borderId="0" xfId="0" quotePrefix="1" applyNumberFormat="1" applyFont="1" applyAlignment="1">
      <alignment horizontal="center" vertical="center"/>
    </xf>
    <xf numFmtId="173" fontId="4" fillId="2" borderId="34" xfId="0" quotePrefix="1" applyNumberFormat="1" applyFont="1" applyFill="1" applyBorder="1" applyAlignment="1">
      <alignment horizontal="center" vertical="center"/>
    </xf>
    <xf numFmtId="173" fontId="4" fillId="2" borderId="44" xfId="0" quotePrefix="1" applyNumberFormat="1" applyFont="1" applyFill="1" applyBorder="1" applyAlignment="1">
      <alignment horizontal="center" vertical="center"/>
    </xf>
    <xf numFmtId="173" fontId="4" fillId="2" borderId="45" xfId="0" quotePrefix="1" applyNumberFormat="1" applyFont="1" applyFill="1" applyBorder="1" applyAlignment="1">
      <alignment horizontal="center" vertical="center"/>
    </xf>
    <xf numFmtId="173" fontId="4" fillId="2" borderId="35" xfId="0" quotePrefix="1" applyNumberFormat="1" applyFont="1" applyFill="1" applyBorder="1" applyAlignment="1">
      <alignment horizontal="center" vertical="center"/>
    </xf>
    <xf numFmtId="173" fontId="4" fillId="2" borderId="36" xfId="0" quotePrefix="1" applyNumberFormat="1" applyFont="1" applyFill="1" applyBorder="1" applyAlignment="1">
      <alignment horizontal="center" vertical="center"/>
    </xf>
    <xf numFmtId="173" fontId="4" fillId="2" borderId="37" xfId="0" quotePrefix="1" applyNumberFormat="1" applyFont="1" applyFill="1" applyBorder="1" applyAlignment="1">
      <alignment horizontal="center" vertical="center"/>
    </xf>
    <xf numFmtId="173" fontId="4" fillId="2" borderId="46" xfId="0" quotePrefix="1" applyNumberFormat="1" applyFont="1" applyFill="1" applyBorder="1" applyAlignment="1">
      <alignment horizontal="center" vertical="center"/>
    </xf>
    <xf numFmtId="173" fontId="4" fillId="2" borderId="47" xfId="0" quotePrefix="1" applyNumberFormat="1" applyFont="1" applyFill="1" applyBorder="1" applyAlignment="1">
      <alignment horizontal="center" vertical="center"/>
    </xf>
    <xf numFmtId="173" fontId="4" fillId="2" borderId="48" xfId="0" quotePrefix="1" applyNumberFormat="1" applyFont="1" applyFill="1" applyBorder="1" applyAlignment="1">
      <alignment horizontal="center" vertical="center"/>
    </xf>
    <xf numFmtId="173" fontId="4" fillId="11" borderId="35" xfId="0" quotePrefix="1" applyNumberFormat="1" applyFont="1" applyFill="1" applyBorder="1" applyAlignment="1">
      <alignment horizontal="center" vertical="center"/>
    </xf>
    <xf numFmtId="173" fontId="4" fillId="11" borderId="36" xfId="0" quotePrefix="1" applyNumberFormat="1" applyFont="1" applyFill="1" applyBorder="1" applyAlignment="1">
      <alignment horizontal="center" vertical="center"/>
    </xf>
    <xf numFmtId="173" fontId="4" fillId="11" borderId="37" xfId="0" quotePrefix="1" applyNumberFormat="1" applyFont="1" applyFill="1" applyBorder="1" applyAlignment="1">
      <alignment horizontal="center" vertical="center"/>
    </xf>
    <xf numFmtId="173" fontId="4" fillId="11" borderId="34" xfId="0" quotePrefix="1" applyNumberFormat="1" applyFont="1" applyFill="1" applyBorder="1" applyAlignment="1">
      <alignment horizontal="center" vertical="center"/>
    </xf>
    <xf numFmtId="173" fontId="4" fillId="11" borderId="44" xfId="0" quotePrefix="1" applyNumberFormat="1" applyFont="1" applyFill="1" applyBorder="1" applyAlignment="1">
      <alignment horizontal="center" vertical="center"/>
    </xf>
    <xf numFmtId="173" fontId="4" fillId="11" borderId="45" xfId="0" quotePrefix="1" applyNumberFormat="1" applyFont="1" applyFill="1" applyBorder="1" applyAlignment="1">
      <alignment horizontal="center" vertical="center"/>
    </xf>
    <xf numFmtId="174" fontId="4" fillId="2" borderId="38" xfId="0" quotePrefix="1" applyNumberFormat="1" applyFont="1" applyFill="1" applyBorder="1" applyAlignment="1">
      <alignment horizontal="center" vertical="center"/>
    </xf>
    <xf numFmtId="174" fontId="4" fillId="2" borderId="39" xfId="0" quotePrefix="1" applyNumberFormat="1" applyFont="1" applyFill="1" applyBorder="1" applyAlignment="1">
      <alignment horizontal="center" vertical="center"/>
    </xf>
    <xf numFmtId="174" fontId="4" fillId="2" borderId="40" xfId="0" quotePrefix="1" applyNumberFormat="1" applyFont="1" applyFill="1" applyBorder="1" applyAlignment="1">
      <alignment horizontal="center" vertical="center"/>
    </xf>
    <xf numFmtId="174" fontId="4" fillId="2" borderId="35" xfId="0" quotePrefix="1" applyNumberFormat="1" applyFont="1" applyFill="1" applyBorder="1" applyAlignment="1">
      <alignment horizontal="center" vertical="center"/>
    </xf>
    <xf numFmtId="174" fontId="4" fillId="2" borderId="36" xfId="0" quotePrefix="1" applyNumberFormat="1" applyFont="1" applyFill="1" applyBorder="1" applyAlignment="1">
      <alignment horizontal="center" vertical="center"/>
    </xf>
    <xf numFmtId="174" fontId="4" fillId="2" borderId="37" xfId="0" quotePrefix="1" applyNumberFormat="1" applyFont="1" applyFill="1" applyBorder="1" applyAlignment="1">
      <alignment horizontal="center" vertical="center"/>
    </xf>
    <xf numFmtId="174" fontId="4" fillId="2" borderId="46" xfId="0" quotePrefix="1" applyNumberFormat="1" applyFont="1" applyFill="1" applyBorder="1" applyAlignment="1">
      <alignment horizontal="center" vertical="center"/>
    </xf>
    <xf numFmtId="174" fontId="4" fillId="2" borderId="47" xfId="0" quotePrefix="1" applyNumberFormat="1" applyFont="1" applyFill="1" applyBorder="1" applyAlignment="1">
      <alignment horizontal="center" vertical="center"/>
    </xf>
    <xf numFmtId="174" fontId="4" fillId="2" borderId="48" xfId="0" quotePrefix="1" applyNumberFormat="1" applyFont="1" applyFill="1" applyBorder="1" applyAlignment="1">
      <alignment horizontal="center" vertical="center"/>
    </xf>
    <xf numFmtId="174" fontId="4" fillId="0" borderId="0" xfId="0" quotePrefix="1" applyNumberFormat="1" applyFont="1" applyAlignment="1">
      <alignment horizontal="center" vertical="center"/>
    </xf>
    <xf numFmtId="174" fontId="4" fillId="2" borderId="34" xfId="0" quotePrefix="1" applyNumberFormat="1" applyFont="1" applyFill="1" applyBorder="1" applyAlignment="1">
      <alignment horizontal="center" vertical="center"/>
    </xf>
    <xf numFmtId="174" fontId="4" fillId="2" borderId="44" xfId="0" quotePrefix="1" applyNumberFormat="1" applyFont="1" applyFill="1" applyBorder="1" applyAlignment="1">
      <alignment horizontal="center" vertical="center"/>
    </xf>
    <xf numFmtId="174" fontId="4" fillId="2" borderId="45" xfId="0" quotePrefix="1" applyNumberFormat="1" applyFont="1" applyFill="1" applyBorder="1" applyAlignment="1">
      <alignment horizontal="center" vertical="center"/>
    </xf>
    <xf numFmtId="174" fontId="4" fillId="11" borderId="35" xfId="0" quotePrefix="1" applyNumberFormat="1" applyFont="1" applyFill="1" applyBorder="1" applyAlignment="1">
      <alignment horizontal="center" vertical="center"/>
    </xf>
    <xf numFmtId="174" fontId="4" fillId="11" borderId="36" xfId="0" quotePrefix="1" applyNumberFormat="1" applyFont="1" applyFill="1" applyBorder="1" applyAlignment="1">
      <alignment horizontal="center" vertical="center"/>
    </xf>
    <xf numFmtId="174" fontId="4" fillId="11" borderId="37" xfId="0" quotePrefix="1" applyNumberFormat="1" applyFont="1" applyFill="1" applyBorder="1" applyAlignment="1">
      <alignment horizontal="center" vertical="center"/>
    </xf>
    <xf numFmtId="174" fontId="4" fillId="11" borderId="46" xfId="0" quotePrefix="1" applyNumberFormat="1" applyFont="1" applyFill="1" applyBorder="1" applyAlignment="1">
      <alignment horizontal="center" vertical="center"/>
    </xf>
    <xf numFmtId="174" fontId="4" fillId="11" borderId="47" xfId="0" quotePrefix="1" applyNumberFormat="1" applyFont="1" applyFill="1" applyBorder="1" applyAlignment="1">
      <alignment horizontal="center" vertical="center"/>
    </xf>
    <xf numFmtId="174" fontId="4" fillId="11" borderId="48" xfId="0" quotePrefix="1" applyNumberFormat="1" applyFont="1" applyFill="1" applyBorder="1" applyAlignment="1">
      <alignment horizontal="center" vertical="center"/>
    </xf>
    <xf numFmtId="173" fontId="4" fillId="13" borderId="35" xfId="0" quotePrefix="1" applyNumberFormat="1" applyFont="1" applyFill="1" applyBorder="1" applyAlignment="1">
      <alignment horizontal="center" vertical="center"/>
    </xf>
    <xf numFmtId="173" fontId="4" fillId="13" borderId="36" xfId="0" quotePrefix="1" applyNumberFormat="1" applyFont="1" applyFill="1" applyBorder="1" applyAlignment="1">
      <alignment horizontal="center" vertical="center"/>
    </xf>
    <xf numFmtId="173" fontId="4" fillId="13" borderId="37" xfId="0" quotePrefix="1" applyNumberFormat="1" applyFont="1" applyFill="1" applyBorder="1" applyAlignment="1">
      <alignment horizontal="center" vertical="center"/>
    </xf>
    <xf numFmtId="173" fontId="4" fillId="13" borderId="46" xfId="0" quotePrefix="1" applyNumberFormat="1" applyFont="1" applyFill="1" applyBorder="1" applyAlignment="1">
      <alignment horizontal="center" vertical="center"/>
    </xf>
    <xf numFmtId="173" fontId="4" fillId="13" borderId="47" xfId="0" quotePrefix="1" applyNumberFormat="1" applyFont="1" applyFill="1" applyBorder="1" applyAlignment="1">
      <alignment horizontal="center" vertical="center"/>
    </xf>
    <xf numFmtId="173" fontId="4" fillId="13" borderId="48" xfId="0" quotePrefix="1" applyNumberFormat="1" applyFont="1" applyFill="1" applyBorder="1" applyAlignment="1">
      <alignment horizontal="center" vertical="center"/>
    </xf>
    <xf numFmtId="2" fontId="8" fillId="3" borderId="56" xfId="0" applyNumberFormat="1" applyFont="1" applyFill="1" applyBorder="1" applyAlignment="1">
      <alignment horizontal="center" vertical="center"/>
    </xf>
    <xf numFmtId="2" fontId="8" fillId="3" borderId="14" xfId="0" applyNumberFormat="1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left" vertical="center" wrapText="1"/>
    </xf>
    <xf numFmtId="0" fontId="4" fillId="12" borderId="12" xfId="0" applyFont="1" applyFill="1" applyBorder="1" applyAlignment="1">
      <alignment vertical="center" wrapText="1"/>
    </xf>
    <xf numFmtId="0" fontId="4" fillId="0" borderId="13" xfId="0" quotePrefix="1" applyFont="1" applyBorder="1" applyAlignment="1">
      <alignment horizontal="center" vertical="center" wrapText="1"/>
    </xf>
    <xf numFmtId="174" fontId="4" fillId="11" borderId="34" xfId="0" quotePrefix="1" applyNumberFormat="1" applyFont="1" applyFill="1" applyBorder="1" applyAlignment="1">
      <alignment horizontal="center" vertical="center"/>
    </xf>
    <xf numFmtId="174" fontId="4" fillId="11" borderId="44" xfId="0" quotePrefix="1" applyNumberFormat="1" applyFont="1" applyFill="1" applyBorder="1" applyAlignment="1">
      <alignment horizontal="center" vertical="center"/>
    </xf>
    <xf numFmtId="174" fontId="4" fillId="11" borderId="45" xfId="0" quotePrefix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/>
    </xf>
    <xf numFmtId="2" fontId="4" fillId="0" borderId="57" xfId="0" applyNumberFormat="1" applyFont="1" applyBorder="1" applyAlignment="1">
      <alignment horizontal="center" vertical="center"/>
    </xf>
    <xf numFmtId="2" fontId="4" fillId="0" borderId="58" xfId="0" applyNumberFormat="1" applyFont="1" applyBorder="1" applyAlignment="1">
      <alignment horizontal="center" vertical="center"/>
    </xf>
    <xf numFmtId="2" fontId="4" fillId="0" borderId="59" xfId="0" applyNumberFormat="1" applyFont="1" applyBorder="1" applyAlignment="1">
      <alignment horizontal="center" vertical="center"/>
    </xf>
    <xf numFmtId="2" fontId="4" fillId="0" borderId="60" xfId="0" applyNumberFormat="1" applyFont="1" applyBorder="1" applyAlignment="1">
      <alignment horizontal="center" vertical="center"/>
    </xf>
    <xf numFmtId="2" fontId="4" fillId="0" borderId="61" xfId="0" applyNumberFormat="1" applyFont="1" applyBorder="1" applyAlignment="1">
      <alignment horizontal="center" vertical="center"/>
    </xf>
    <xf numFmtId="2" fontId="4" fillId="0" borderId="57" xfId="0" quotePrefix="1" applyNumberFormat="1" applyFont="1" applyBorder="1" applyAlignment="1">
      <alignment horizontal="center" vertical="center"/>
    </xf>
    <xf numFmtId="2" fontId="4" fillId="0" borderId="60" xfId="0" quotePrefix="1" applyNumberFormat="1" applyFont="1" applyBorder="1" applyAlignment="1">
      <alignment horizontal="center" vertical="center"/>
    </xf>
    <xf numFmtId="2" fontId="4" fillId="0" borderId="61" xfId="0" quotePrefix="1" applyNumberFormat="1" applyFont="1" applyBorder="1" applyAlignment="1">
      <alignment horizontal="center" vertical="center"/>
    </xf>
    <xf numFmtId="2" fontId="4" fillId="0" borderId="62" xfId="0" quotePrefix="1" applyNumberFormat="1" applyFont="1" applyBorder="1" applyAlignment="1">
      <alignment horizontal="center" vertical="center"/>
    </xf>
    <xf numFmtId="2" fontId="4" fillId="0" borderId="59" xfId="0" quotePrefix="1" applyNumberFormat="1" applyFont="1" applyBorder="1" applyAlignment="1">
      <alignment horizontal="center" vertical="center"/>
    </xf>
    <xf numFmtId="171" fontId="4" fillId="0" borderId="12" xfId="0" applyNumberFormat="1" applyFont="1" applyBorder="1" applyAlignment="1">
      <alignment horizontal="center" vertical="center"/>
    </xf>
    <xf numFmtId="173" fontId="4" fillId="13" borderId="34" xfId="0" quotePrefix="1" applyNumberFormat="1" applyFont="1" applyFill="1" applyBorder="1" applyAlignment="1">
      <alignment horizontal="center" vertical="center"/>
    </xf>
    <xf numFmtId="173" fontId="4" fillId="13" borderId="44" xfId="0" quotePrefix="1" applyNumberFormat="1" applyFont="1" applyFill="1" applyBorder="1" applyAlignment="1">
      <alignment horizontal="center" vertical="center"/>
    </xf>
    <xf numFmtId="173" fontId="4" fillId="13" borderId="45" xfId="0" quotePrefix="1" applyNumberFormat="1" applyFont="1" applyFill="1" applyBorder="1" applyAlignment="1">
      <alignment horizontal="center" vertical="center"/>
    </xf>
    <xf numFmtId="174" fontId="4" fillId="0" borderId="0" xfId="0" applyNumberFormat="1" applyFont="1" applyAlignment="1">
      <alignment vertical="center"/>
    </xf>
    <xf numFmtId="175" fontId="4" fillId="2" borderId="44" xfId="0" quotePrefix="1" applyNumberFormat="1" applyFont="1" applyFill="1" applyBorder="1" applyAlignment="1">
      <alignment horizontal="center" vertical="center"/>
    </xf>
    <xf numFmtId="175" fontId="4" fillId="2" borderId="45" xfId="0" quotePrefix="1" applyNumberFormat="1" applyFont="1" applyFill="1" applyBorder="1" applyAlignment="1">
      <alignment horizontal="center" vertical="center"/>
    </xf>
    <xf numFmtId="175" fontId="4" fillId="2" borderId="36" xfId="0" quotePrefix="1" applyNumberFormat="1" applyFont="1" applyFill="1" applyBorder="1" applyAlignment="1">
      <alignment horizontal="center" vertical="center"/>
    </xf>
    <xf numFmtId="175" fontId="4" fillId="2" borderId="37" xfId="0" quotePrefix="1" applyNumberFormat="1" applyFont="1" applyFill="1" applyBorder="1" applyAlignment="1">
      <alignment horizontal="center" vertical="center"/>
    </xf>
    <xf numFmtId="175" fontId="4" fillId="2" borderId="47" xfId="0" quotePrefix="1" applyNumberFormat="1" applyFont="1" applyFill="1" applyBorder="1" applyAlignment="1">
      <alignment horizontal="center" vertical="center"/>
    </xf>
    <xf numFmtId="175" fontId="4" fillId="2" borderId="48" xfId="0" quotePrefix="1" applyNumberFormat="1" applyFont="1" applyFill="1" applyBorder="1" applyAlignment="1">
      <alignment horizontal="center" vertical="center"/>
    </xf>
    <xf numFmtId="175" fontId="4" fillId="11" borderId="44" xfId="0" quotePrefix="1" applyNumberFormat="1" applyFont="1" applyFill="1" applyBorder="1" applyAlignment="1">
      <alignment horizontal="center" vertical="center"/>
    </xf>
    <xf numFmtId="175" fontId="4" fillId="11" borderId="45" xfId="0" quotePrefix="1" applyNumberFormat="1" applyFont="1" applyFill="1" applyBorder="1" applyAlignment="1">
      <alignment horizontal="center" vertical="center"/>
    </xf>
    <xf numFmtId="175" fontId="4" fillId="11" borderId="36" xfId="0" quotePrefix="1" applyNumberFormat="1" applyFont="1" applyFill="1" applyBorder="1" applyAlignment="1">
      <alignment horizontal="center" vertical="center"/>
    </xf>
    <xf numFmtId="175" fontId="4" fillId="11" borderId="37" xfId="0" quotePrefix="1" applyNumberFormat="1" applyFont="1" applyFill="1" applyBorder="1" applyAlignment="1">
      <alignment horizontal="center" vertical="center"/>
    </xf>
    <xf numFmtId="175" fontId="4" fillId="11" borderId="47" xfId="0" quotePrefix="1" applyNumberFormat="1" applyFont="1" applyFill="1" applyBorder="1" applyAlignment="1">
      <alignment horizontal="center" vertical="center"/>
    </xf>
    <xf numFmtId="175" fontId="4" fillId="11" borderId="48" xfId="0" quotePrefix="1" applyNumberFormat="1" applyFont="1" applyFill="1" applyBorder="1" applyAlignment="1">
      <alignment horizontal="center" vertical="center"/>
    </xf>
    <xf numFmtId="175" fontId="4" fillId="2" borderId="34" xfId="0" quotePrefix="1" applyNumberFormat="1" applyFont="1" applyFill="1" applyBorder="1" applyAlignment="1">
      <alignment horizontal="center" vertical="center"/>
    </xf>
    <xf numFmtId="175" fontId="4" fillId="2" borderId="35" xfId="0" quotePrefix="1" applyNumberFormat="1" applyFont="1" applyFill="1" applyBorder="1" applyAlignment="1">
      <alignment horizontal="center" vertical="center"/>
    </xf>
    <xf numFmtId="175" fontId="4" fillId="2" borderId="46" xfId="0" quotePrefix="1" applyNumberFormat="1" applyFont="1" applyFill="1" applyBorder="1" applyAlignment="1">
      <alignment horizontal="center" vertical="center"/>
    </xf>
    <xf numFmtId="174" fontId="4" fillId="12" borderId="44" xfId="0" quotePrefix="1" applyNumberFormat="1" applyFont="1" applyFill="1" applyBorder="1" applyAlignment="1">
      <alignment horizontal="center" vertical="center"/>
    </xf>
    <xf numFmtId="174" fontId="4" fillId="12" borderId="36" xfId="0" quotePrefix="1" applyNumberFormat="1" applyFont="1" applyFill="1" applyBorder="1" applyAlignment="1">
      <alignment horizontal="center" vertical="center"/>
    </xf>
    <xf numFmtId="174" fontId="4" fillId="12" borderId="37" xfId="0" quotePrefix="1" applyNumberFormat="1" applyFont="1" applyFill="1" applyBorder="1" applyAlignment="1">
      <alignment horizontal="center" vertical="center"/>
    </xf>
    <xf numFmtId="0" fontId="4" fillId="14" borderId="7" xfId="0" applyFont="1" applyFill="1" applyBorder="1" applyAlignment="1">
      <alignment horizontal="left" vertical="center" wrapText="1"/>
    </xf>
    <xf numFmtId="0" fontId="4" fillId="14" borderId="8" xfId="0" applyFont="1" applyFill="1" applyBorder="1" applyAlignment="1">
      <alignment vertical="center" wrapText="1"/>
    </xf>
    <xf numFmtId="0" fontId="4" fillId="14" borderId="8" xfId="0" applyFont="1" applyFill="1" applyBorder="1" applyAlignment="1">
      <alignment horizontal="center" vertical="center"/>
    </xf>
    <xf numFmtId="175" fontId="4" fillId="11" borderId="34" xfId="0" quotePrefix="1" applyNumberFormat="1" applyFont="1" applyFill="1" applyBorder="1" applyAlignment="1">
      <alignment horizontal="center" vertical="center"/>
    </xf>
    <xf numFmtId="175" fontId="4" fillId="11" borderId="35" xfId="0" quotePrefix="1" applyNumberFormat="1" applyFont="1" applyFill="1" applyBorder="1" applyAlignment="1">
      <alignment horizontal="center" vertical="center"/>
    </xf>
    <xf numFmtId="175" fontId="4" fillId="11" borderId="46" xfId="0" quotePrefix="1" applyNumberFormat="1" applyFont="1" applyFill="1" applyBorder="1" applyAlignment="1">
      <alignment horizontal="center" vertical="center"/>
    </xf>
    <xf numFmtId="173" fontId="4" fillId="13" borderId="38" xfId="0" quotePrefix="1" applyNumberFormat="1" applyFont="1" applyFill="1" applyBorder="1" applyAlignment="1">
      <alignment horizontal="center" vertical="center"/>
    </xf>
    <xf numFmtId="173" fontId="4" fillId="13" borderId="39" xfId="0" quotePrefix="1" applyNumberFormat="1" applyFont="1" applyFill="1" applyBorder="1" applyAlignment="1">
      <alignment horizontal="center" vertical="center"/>
    </xf>
    <xf numFmtId="173" fontId="4" fillId="13" borderId="40" xfId="0" quotePrefix="1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2" fontId="23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169" fontId="23" fillId="0" borderId="0" xfId="0" quotePrefix="1" applyNumberFormat="1" applyFont="1" applyAlignment="1">
      <alignment horizontal="center" vertical="center"/>
    </xf>
    <xf numFmtId="164" fontId="23" fillId="0" borderId="0" xfId="0" applyNumberFormat="1" applyFont="1" applyAlignment="1">
      <alignment vertical="center"/>
    </xf>
    <xf numFmtId="170" fontId="24" fillId="0" borderId="0" xfId="0" applyNumberFormat="1" applyFont="1" applyAlignment="1">
      <alignment vertical="center"/>
    </xf>
    <xf numFmtId="0" fontId="25" fillId="0" borderId="0" xfId="2" applyFont="1" applyAlignment="1" applyProtection="1">
      <alignment horizontal="center" vertical="center"/>
    </xf>
    <xf numFmtId="14" fontId="23" fillId="0" borderId="0" xfId="0" applyNumberFormat="1" applyFont="1" applyAlignment="1">
      <alignment vertical="center"/>
    </xf>
    <xf numFmtId="0" fontId="26" fillId="0" borderId="0" xfId="0" applyFont="1" applyAlignment="1">
      <alignment vertical="center" wrapText="1"/>
    </xf>
    <xf numFmtId="0" fontId="23" fillId="7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173" fontId="23" fillId="0" borderId="0" xfId="0" quotePrefix="1" applyNumberFormat="1" applyFont="1" applyAlignment="1">
      <alignment horizontal="center" vertical="center"/>
    </xf>
    <xf numFmtId="14" fontId="23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center" vertical="center" wrapText="1"/>
    </xf>
    <xf numFmtId="168" fontId="23" fillId="0" borderId="0" xfId="0" quotePrefix="1" applyNumberFormat="1" applyFont="1" applyAlignment="1">
      <alignment horizontal="center" vertical="center"/>
    </xf>
    <xf numFmtId="0" fontId="30" fillId="0" borderId="0" xfId="0" applyFont="1" applyAlignment="1">
      <alignment vertical="center"/>
    </xf>
    <xf numFmtId="170" fontId="23" fillId="7" borderId="0" xfId="0" applyNumberFormat="1" applyFont="1" applyFill="1" applyAlignment="1">
      <alignment horizontal="center" vertical="center"/>
    </xf>
    <xf numFmtId="0" fontId="28" fillId="3" borderId="49" xfId="0" applyFont="1" applyFill="1" applyBorder="1" applyAlignment="1">
      <alignment horizontal="center" vertical="center" wrapText="1"/>
    </xf>
    <xf numFmtId="0" fontId="28" fillId="3" borderId="41" xfId="0" applyFont="1" applyFill="1" applyBorder="1" applyAlignment="1">
      <alignment horizontal="center" vertical="center" wrapText="1"/>
    </xf>
    <xf numFmtId="0" fontId="23" fillId="0" borderId="67" xfId="0" applyFont="1" applyBorder="1" applyAlignment="1">
      <alignment horizontal="left" vertical="center" wrapText="1"/>
    </xf>
    <xf numFmtId="0" fontId="23" fillId="0" borderId="68" xfId="0" applyFont="1" applyBorder="1" applyAlignment="1">
      <alignment vertical="center" wrapText="1"/>
    </xf>
    <xf numFmtId="0" fontId="23" fillId="0" borderId="68" xfId="0" applyFont="1" applyBorder="1" applyAlignment="1">
      <alignment horizontal="center" vertical="center"/>
    </xf>
    <xf numFmtId="0" fontId="23" fillId="0" borderId="67" xfId="0" applyFont="1" applyBorder="1" applyAlignment="1">
      <alignment horizontal="center" vertical="center"/>
    </xf>
    <xf numFmtId="0" fontId="23" fillId="0" borderId="69" xfId="0" quotePrefix="1" applyFont="1" applyBorder="1" applyAlignment="1">
      <alignment horizontal="center" vertical="center" wrapText="1"/>
    </xf>
    <xf numFmtId="0" fontId="29" fillId="0" borderId="67" xfId="0" quotePrefix="1" applyFont="1" applyBorder="1" applyAlignment="1">
      <alignment horizontal="center" vertical="center"/>
    </xf>
    <xf numFmtId="0" fontId="29" fillId="0" borderId="68" xfId="0" quotePrefix="1" applyFont="1" applyBorder="1" applyAlignment="1">
      <alignment horizontal="center" vertical="center" wrapText="1"/>
    </xf>
    <xf numFmtId="0" fontId="29" fillId="0" borderId="69" xfId="0" quotePrefix="1" applyFont="1" applyBorder="1" applyAlignment="1">
      <alignment horizontal="center" vertical="center" wrapText="1"/>
    </xf>
    <xf numFmtId="168" fontId="23" fillId="0" borderId="70" xfId="0" quotePrefix="1" applyNumberFormat="1" applyFont="1" applyBorder="1" applyAlignment="1">
      <alignment horizontal="center" vertical="center"/>
    </xf>
    <xf numFmtId="169" fontId="23" fillId="0" borderId="71" xfId="0" quotePrefix="1" applyNumberFormat="1" applyFont="1" applyBorder="1" applyAlignment="1">
      <alignment horizontal="center" vertical="center"/>
    </xf>
    <xf numFmtId="2" fontId="23" fillId="0" borderId="103" xfId="0" applyNumberFormat="1" applyFont="1" applyBorder="1" applyAlignment="1">
      <alignment horizontal="center" vertical="center"/>
    </xf>
    <xf numFmtId="2" fontId="23" fillId="0" borderId="104" xfId="0" applyNumberFormat="1" applyFont="1" applyBorder="1" applyAlignment="1">
      <alignment horizontal="center" vertical="center"/>
    </xf>
    <xf numFmtId="2" fontId="23" fillId="0" borderId="105" xfId="0" applyNumberFormat="1" applyFont="1" applyBorder="1" applyAlignment="1">
      <alignment horizontal="center" vertical="center"/>
    </xf>
    <xf numFmtId="170" fontId="23" fillId="0" borderId="103" xfId="0" applyNumberFormat="1" applyFont="1" applyBorder="1" applyAlignment="1">
      <alignment horizontal="center" vertical="center"/>
    </xf>
    <xf numFmtId="170" fontId="23" fillId="0" borderId="105" xfId="0" applyNumberFormat="1" applyFont="1" applyBorder="1" applyAlignment="1">
      <alignment horizontal="center" vertical="center"/>
    </xf>
    <xf numFmtId="174" fontId="23" fillId="2" borderId="41" xfId="0" quotePrefix="1" applyNumberFormat="1" applyFont="1" applyFill="1" applyBorder="1" applyAlignment="1">
      <alignment horizontal="center" vertical="center"/>
    </xf>
    <xf numFmtId="173" fontId="23" fillId="2" borderId="42" xfId="0" quotePrefix="1" applyNumberFormat="1" applyFont="1" applyFill="1" applyBorder="1" applyAlignment="1">
      <alignment horizontal="center" vertical="center"/>
    </xf>
    <xf numFmtId="173" fontId="23" fillId="2" borderId="43" xfId="0" quotePrefix="1" applyNumberFormat="1" applyFont="1" applyFill="1" applyBorder="1" applyAlignment="1">
      <alignment horizontal="center" vertical="center"/>
    </xf>
    <xf numFmtId="175" fontId="23" fillId="2" borderId="18" xfId="0" quotePrefix="1" applyNumberFormat="1" applyFont="1" applyFill="1" applyBorder="1" applyAlignment="1">
      <alignment horizontal="center" vertical="center"/>
    </xf>
    <xf numFmtId="174" fontId="23" fillId="2" borderId="43" xfId="0" quotePrefix="1" applyNumberFormat="1" applyFont="1" applyFill="1" applyBorder="1" applyAlignment="1">
      <alignment horizontal="center" vertical="center"/>
    </xf>
    <xf numFmtId="174" fontId="23" fillId="11" borderId="41" xfId="0" quotePrefix="1" applyNumberFormat="1" applyFont="1" applyFill="1" applyBorder="1" applyAlignment="1">
      <alignment horizontal="center" vertical="center"/>
    </xf>
    <xf numFmtId="173" fontId="23" fillId="11" borderId="43" xfId="0" quotePrefix="1" applyNumberFormat="1" applyFont="1" applyFill="1" applyBorder="1" applyAlignment="1">
      <alignment horizontal="center" vertical="center"/>
    </xf>
    <xf numFmtId="175" fontId="23" fillId="11" borderId="18" xfId="0" quotePrefix="1" applyNumberFormat="1" applyFont="1" applyFill="1" applyBorder="1" applyAlignment="1">
      <alignment horizontal="center" vertical="center"/>
    </xf>
    <xf numFmtId="174" fontId="23" fillId="11" borderId="43" xfId="0" quotePrefix="1" applyNumberFormat="1" applyFont="1" applyFill="1" applyBorder="1" applyAlignment="1">
      <alignment horizontal="center" vertical="center"/>
    </xf>
    <xf numFmtId="173" fontId="23" fillId="13" borderId="18" xfId="0" quotePrefix="1" applyNumberFormat="1" applyFont="1" applyFill="1" applyBorder="1" applyAlignment="1">
      <alignment horizontal="center" vertical="center"/>
    </xf>
    <xf numFmtId="173" fontId="23" fillId="2" borderId="18" xfId="0" applyNumberFormat="1" applyFont="1" applyFill="1" applyBorder="1" applyAlignment="1">
      <alignment horizontal="center" vertical="center"/>
    </xf>
    <xf numFmtId="0" fontId="27" fillId="3" borderId="81" xfId="0" applyFont="1" applyFill="1" applyBorder="1" applyAlignment="1">
      <alignment vertical="center" wrapText="1"/>
    </xf>
    <xf numFmtId="0" fontId="36" fillId="0" borderId="0" xfId="0" applyFont="1" applyAlignment="1">
      <alignment horizontal="center" vertical="center"/>
    </xf>
    <xf numFmtId="0" fontId="31" fillId="16" borderId="19" xfId="0" applyFont="1" applyFill="1" applyBorder="1" applyAlignment="1">
      <alignment horizontal="center" vertical="center" wrapText="1"/>
    </xf>
    <xf numFmtId="1" fontId="31" fillId="0" borderId="65" xfId="0" applyNumberFormat="1" applyFont="1" applyBorder="1" applyAlignment="1">
      <alignment horizontal="center" vertical="center"/>
    </xf>
    <xf numFmtId="1" fontId="31" fillId="0" borderId="20" xfId="0" applyNumberFormat="1" applyFont="1" applyBorder="1" applyAlignment="1">
      <alignment horizontal="center" vertical="center"/>
    </xf>
    <xf numFmtId="0" fontId="31" fillId="16" borderId="75" xfId="0" applyFont="1" applyFill="1" applyBorder="1" applyAlignment="1">
      <alignment horizontal="center" vertical="center" wrapText="1"/>
    </xf>
    <xf numFmtId="1" fontId="31" fillId="0" borderId="64" xfId="0" applyNumberFormat="1" applyFont="1" applyBorder="1" applyAlignment="1">
      <alignment horizontal="center" vertical="center"/>
    </xf>
    <xf numFmtId="1" fontId="30" fillId="0" borderId="78" xfId="0" applyNumberFormat="1" applyFont="1" applyBorder="1" applyAlignment="1">
      <alignment horizontal="center" vertical="center"/>
    </xf>
    <xf numFmtId="0" fontId="31" fillId="15" borderId="72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0" fillId="0" borderId="106" xfId="0" applyFont="1" applyBorder="1" applyAlignment="1">
      <alignment vertical="center"/>
    </xf>
    <xf numFmtId="0" fontId="30" fillId="0" borderId="108" xfId="0" applyFont="1" applyBorder="1" applyAlignment="1">
      <alignment vertical="center"/>
    </xf>
    <xf numFmtId="0" fontId="30" fillId="0" borderId="107" xfId="0" applyFont="1" applyBorder="1" applyAlignment="1">
      <alignment vertical="center"/>
    </xf>
    <xf numFmtId="0" fontId="30" fillId="0" borderId="107" xfId="0" applyFont="1" applyBorder="1" applyAlignment="1">
      <alignment horizontal="center" vertical="center"/>
    </xf>
    <xf numFmtId="0" fontId="36" fillId="0" borderId="83" xfId="0" applyFont="1" applyBorder="1" applyAlignment="1">
      <alignment horizontal="center" vertical="center"/>
    </xf>
    <xf numFmtId="0" fontId="30" fillId="0" borderId="55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30" fillId="0" borderId="9" xfId="0" applyFont="1" applyBorder="1" applyAlignment="1">
      <alignment vertical="center"/>
    </xf>
    <xf numFmtId="0" fontId="30" fillId="0" borderId="92" xfId="0" applyFont="1" applyBorder="1" applyAlignment="1">
      <alignment vertical="center"/>
    </xf>
    <xf numFmtId="0" fontId="30" fillId="0" borderId="66" xfId="0" applyFont="1" applyBorder="1" applyAlignment="1">
      <alignment vertical="center"/>
    </xf>
    <xf numFmtId="0" fontId="30" fillId="0" borderId="85" xfId="0" applyFont="1" applyBorder="1" applyAlignment="1">
      <alignment vertical="center"/>
    </xf>
    <xf numFmtId="0" fontId="0" fillId="0" borderId="0" xfId="0" applyAlignment="1">
      <alignment horizontal="left"/>
    </xf>
    <xf numFmtId="176" fontId="30" fillId="0" borderId="0" xfId="0" applyNumberFormat="1" applyFont="1" applyAlignment="1">
      <alignment vertical="center"/>
    </xf>
    <xf numFmtId="0" fontId="30" fillId="0" borderId="115" xfId="0" applyFont="1" applyBorder="1" applyAlignment="1">
      <alignment vertical="center"/>
    </xf>
    <xf numFmtId="176" fontId="30" fillId="0" borderId="109" xfId="0" applyNumberFormat="1" applyFont="1" applyBorder="1" applyAlignment="1">
      <alignment vertical="center"/>
    </xf>
    <xf numFmtId="177" fontId="30" fillId="0" borderId="109" xfId="3" applyNumberFormat="1" applyFont="1" applyBorder="1" applyAlignment="1">
      <alignment vertical="center"/>
    </xf>
    <xf numFmtId="0" fontId="30" fillId="22" borderId="9" xfId="0" applyFont="1" applyFill="1" applyBorder="1" applyAlignment="1">
      <alignment vertical="center"/>
    </xf>
    <xf numFmtId="178" fontId="30" fillId="22" borderId="9" xfId="0" applyNumberFormat="1" applyFont="1" applyFill="1" applyBorder="1" applyAlignment="1">
      <alignment vertical="center"/>
    </xf>
    <xf numFmtId="0" fontId="30" fillId="0" borderId="116" xfId="0" applyFont="1" applyBorder="1" applyAlignment="1">
      <alignment vertical="center"/>
    </xf>
    <xf numFmtId="178" fontId="30" fillId="0" borderId="110" xfId="0" applyNumberFormat="1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42" fillId="0" borderId="0" xfId="0" applyFont="1" applyAlignment="1">
      <alignment vertical="center"/>
    </xf>
    <xf numFmtId="0" fontId="44" fillId="0" borderId="72" xfId="0" applyFont="1" applyBorder="1" applyAlignment="1">
      <alignment horizontal="center" vertical="center"/>
    </xf>
    <xf numFmtId="0" fontId="44" fillId="0" borderId="118" xfId="0" applyFont="1" applyBorder="1" applyAlignment="1">
      <alignment horizontal="center" vertical="center"/>
    </xf>
    <xf numFmtId="176" fontId="44" fillId="0" borderId="117" xfId="0" applyNumberFormat="1" applyFont="1" applyBorder="1" applyAlignment="1">
      <alignment horizontal="right"/>
    </xf>
    <xf numFmtId="177" fontId="44" fillId="0" borderId="119" xfId="3" applyNumberFormat="1" applyFont="1" applyFill="1" applyBorder="1" applyAlignment="1">
      <alignment horizontal="right"/>
    </xf>
    <xf numFmtId="0" fontId="44" fillId="16" borderId="118" xfId="0" applyFont="1" applyFill="1" applyBorder="1" applyAlignment="1">
      <alignment horizontal="center" vertical="center"/>
    </xf>
    <xf numFmtId="0" fontId="44" fillId="16" borderId="119" xfId="0" applyFont="1" applyFill="1" applyBorder="1" applyAlignment="1">
      <alignment horizontal="right"/>
    </xf>
    <xf numFmtId="0" fontId="44" fillId="16" borderId="78" xfId="0" applyFont="1" applyFill="1" applyBorder="1" applyAlignment="1">
      <alignment horizontal="center" vertical="center"/>
    </xf>
    <xf numFmtId="176" fontId="44" fillId="16" borderId="122" xfId="0" applyNumberFormat="1" applyFont="1" applyFill="1" applyBorder="1" applyAlignment="1">
      <alignment horizontal="right"/>
    </xf>
    <xf numFmtId="177" fontId="44" fillId="16" borderId="119" xfId="3" applyNumberFormat="1" applyFont="1" applyFill="1" applyBorder="1" applyAlignment="1">
      <alignment horizontal="right"/>
    </xf>
    <xf numFmtId="177" fontId="45" fillId="0" borderId="119" xfId="3" applyNumberFormat="1" applyFont="1" applyFill="1" applyBorder="1" applyAlignment="1">
      <alignment horizontal="right" vertical="center" wrapText="1"/>
    </xf>
    <xf numFmtId="176" fontId="45" fillId="0" borderId="119" xfId="0" applyNumberFormat="1" applyFont="1" applyBorder="1" applyAlignment="1">
      <alignment horizontal="right" vertical="center" wrapText="1"/>
    </xf>
    <xf numFmtId="0" fontId="45" fillId="0" borderId="118" xfId="0" applyFont="1" applyBorder="1" applyAlignment="1">
      <alignment horizontal="center" vertical="center" wrapText="1"/>
    </xf>
    <xf numFmtId="0" fontId="45" fillId="16" borderId="118" xfId="0" applyFont="1" applyFill="1" applyBorder="1" applyAlignment="1">
      <alignment horizontal="center" vertical="center" wrapText="1"/>
    </xf>
    <xf numFmtId="176" fontId="45" fillId="16" borderId="119" xfId="0" applyNumberFormat="1" applyFont="1" applyFill="1" applyBorder="1" applyAlignment="1">
      <alignment horizontal="right" vertical="center" wrapText="1"/>
    </xf>
    <xf numFmtId="176" fontId="45" fillId="0" borderId="121" xfId="0" applyNumberFormat="1" applyFont="1" applyBorder="1" applyAlignment="1">
      <alignment horizontal="right" vertical="center" wrapText="1"/>
    </xf>
    <xf numFmtId="0" fontId="46" fillId="0" borderId="111" xfId="0" applyFont="1" applyBorder="1" applyAlignment="1">
      <alignment horizontal="right"/>
    </xf>
    <xf numFmtId="0" fontId="46" fillId="16" borderId="114" xfId="0" applyFont="1" applyFill="1" applyBorder="1" applyAlignment="1">
      <alignment horizontal="right"/>
    </xf>
    <xf numFmtId="0" fontId="46" fillId="0" borderId="112" xfId="0" applyFont="1" applyBorder="1" applyAlignment="1">
      <alignment horizontal="right"/>
    </xf>
    <xf numFmtId="0" fontId="46" fillId="16" borderId="112" xfId="0" applyFont="1" applyFill="1" applyBorder="1" applyAlignment="1">
      <alignment horizontal="right"/>
    </xf>
    <xf numFmtId="0" fontId="46" fillId="0" borderId="112" xfId="0" applyFont="1" applyBorder="1" applyAlignment="1">
      <alignment horizontal="right" vertical="center" wrapText="1"/>
    </xf>
    <xf numFmtId="0" fontId="46" fillId="16" borderId="112" xfId="0" applyFont="1" applyFill="1" applyBorder="1" applyAlignment="1">
      <alignment horizontal="right" vertical="center" wrapText="1"/>
    </xf>
    <xf numFmtId="0" fontId="46" fillId="0" borderId="113" xfId="0" applyFont="1" applyBorder="1" applyAlignment="1">
      <alignment horizontal="right" vertical="center" wrapText="1"/>
    </xf>
    <xf numFmtId="0" fontId="44" fillId="0" borderId="0" xfId="0" applyFont="1"/>
    <xf numFmtId="0" fontId="1" fillId="0" borderId="112" xfId="0" applyFont="1" applyBorder="1"/>
    <xf numFmtId="0" fontId="0" fillId="0" borderId="112" xfId="0" applyBorder="1"/>
    <xf numFmtId="0" fontId="47" fillId="0" borderId="112" xfId="0" applyFont="1" applyBorder="1" applyAlignment="1" applyProtection="1">
      <alignment horizontal="left" vertical="center"/>
      <protection locked="0"/>
    </xf>
    <xf numFmtId="0" fontId="47" fillId="9" borderId="112" xfId="0" quotePrefix="1" applyFont="1" applyFill="1" applyBorder="1" applyAlignment="1">
      <alignment vertical="center"/>
    </xf>
    <xf numFmtId="0" fontId="1" fillId="0" borderId="0" xfId="0" applyFont="1"/>
    <xf numFmtId="2" fontId="47" fillId="0" borderId="112" xfId="0" applyNumberFormat="1" applyFont="1" applyBorder="1" applyAlignment="1" applyProtection="1">
      <alignment horizontal="left" vertical="center"/>
      <protection locked="0"/>
    </xf>
    <xf numFmtId="178" fontId="30" fillId="0" borderId="0" xfId="0" applyNumberFormat="1" applyFont="1" applyAlignment="1">
      <alignment vertical="center"/>
    </xf>
    <xf numFmtId="177" fontId="30" fillId="0" borderId="0" xfId="3" applyNumberFormat="1" applyFont="1" applyBorder="1" applyAlignment="1">
      <alignment vertical="center"/>
    </xf>
    <xf numFmtId="0" fontId="30" fillId="0" borderId="123" xfId="0" applyFont="1" applyBorder="1" applyAlignment="1">
      <alignment vertical="center"/>
    </xf>
    <xf numFmtId="0" fontId="30" fillId="0" borderId="22" xfId="0" applyFont="1" applyBorder="1" applyAlignment="1">
      <alignment vertical="center"/>
    </xf>
    <xf numFmtId="176" fontId="30" fillId="0" borderId="9" xfId="0" applyNumberFormat="1" applyFont="1" applyBorder="1" applyAlignment="1">
      <alignment vertical="center"/>
    </xf>
    <xf numFmtId="0" fontId="30" fillId="0" borderId="31" xfId="0" applyFont="1" applyBorder="1" applyAlignment="1">
      <alignment vertical="center"/>
    </xf>
    <xf numFmtId="0" fontId="30" fillId="24" borderId="112" xfId="0" applyFont="1" applyFill="1" applyBorder="1" applyAlignment="1">
      <alignment vertical="center" wrapText="1"/>
    </xf>
    <xf numFmtId="0" fontId="30" fillId="24" borderId="0" xfId="0" applyFont="1" applyFill="1" applyAlignment="1">
      <alignment vertical="center" wrapText="1"/>
    </xf>
    <xf numFmtId="0" fontId="30" fillId="22" borderId="0" xfId="0" applyFont="1" applyFill="1" applyAlignment="1">
      <alignment vertical="center"/>
    </xf>
    <xf numFmtId="178" fontId="30" fillId="22" borderId="0" xfId="0" applyNumberFormat="1" applyFont="1" applyFill="1" applyAlignment="1">
      <alignment vertical="center"/>
    </xf>
    <xf numFmtId="0" fontId="30" fillId="0" borderId="124" xfId="0" applyFont="1" applyBorder="1" applyAlignment="1">
      <alignment vertical="center"/>
    </xf>
    <xf numFmtId="176" fontId="30" fillId="0" borderId="125" xfId="0" applyNumberFormat="1" applyFont="1" applyBorder="1" applyAlignment="1">
      <alignment vertical="center"/>
    </xf>
    <xf numFmtId="176" fontId="30" fillId="0" borderId="126" xfId="0" applyNumberFormat="1" applyFont="1" applyBorder="1" applyAlignment="1">
      <alignment vertical="center"/>
    </xf>
    <xf numFmtId="176" fontId="30" fillId="0" borderId="115" xfId="0" applyNumberFormat="1" applyFont="1" applyBorder="1" applyAlignment="1">
      <alignment vertical="center"/>
    </xf>
    <xf numFmtId="0" fontId="31" fillId="0" borderId="112" xfId="0" applyFont="1" applyBorder="1" applyAlignment="1">
      <alignment horizontal="center" vertical="center"/>
    </xf>
    <xf numFmtId="0" fontId="31" fillId="17" borderId="72" xfId="0" applyFont="1" applyFill="1" applyBorder="1" applyAlignment="1">
      <alignment horizontal="center" vertical="center"/>
    </xf>
    <xf numFmtId="0" fontId="31" fillId="21" borderId="117" xfId="0" applyFont="1" applyFill="1" applyBorder="1" applyAlignment="1">
      <alignment horizontal="center" vertical="center"/>
    </xf>
    <xf numFmtId="0" fontId="31" fillId="17" borderId="118" xfId="0" applyFont="1" applyFill="1" applyBorder="1" applyAlignment="1">
      <alignment horizontal="center" vertical="center"/>
    </xf>
    <xf numFmtId="0" fontId="31" fillId="21" borderId="119" xfId="0" applyFont="1" applyFill="1" applyBorder="1" applyAlignment="1">
      <alignment horizontal="center" vertical="center"/>
    </xf>
    <xf numFmtId="0" fontId="31" fillId="17" borderId="118" xfId="0" applyFont="1" applyFill="1" applyBorder="1" applyAlignment="1">
      <alignment horizontal="center" vertical="center" wrapText="1"/>
    </xf>
    <xf numFmtId="0" fontId="31" fillId="0" borderId="119" xfId="0" applyFont="1" applyBorder="1" applyAlignment="1">
      <alignment horizontal="center" vertical="center"/>
    </xf>
    <xf numFmtId="0" fontId="31" fillId="19" borderId="118" xfId="0" applyFont="1" applyFill="1" applyBorder="1" applyAlignment="1">
      <alignment horizontal="center" vertical="center" wrapText="1"/>
    </xf>
    <xf numFmtId="0" fontId="31" fillId="21" borderId="121" xfId="0" applyFont="1" applyFill="1" applyBorder="1" applyAlignment="1">
      <alignment horizontal="center" vertical="center"/>
    </xf>
    <xf numFmtId="0" fontId="31" fillId="17" borderId="120" xfId="0" applyFont="1" applyFill="1" applyBorder="1" applyAlignment="1">
      <alignment horizontal="center" vertical="center"/>
    </xf>
    <xf numFmtId="0" fontId="31" fillId="25" borderId="72" xfId="0" applyFont="1" applyFill="1" applyBorder="1" applyAlignment="1">
      <alignment horizontal="center" vertical="center" wrapText="1"/>
    </xf>
    <xf numFmtId="0" fontId="31" fillId="25" borderId="117" xfId="0" applyFont="1" applyFill="1" applyBorder="1" applyAlignment="1">
      <alignment horizontal="center" vertical="center"/>
    </xf>
    <xf numFmtId="0" fontId="31" fillId="25" borderId="118" xfId="0" applyFont="1" applyFill="1" applyBorder="1" applyAlignment="1">
      <alignment horizontal="center" vertical="center" wrapText="1"/>
    </xf>
    <xf numFmtId="0" fontId="31" fillId="25" borderId="119" xfId="0" applyFont="1" applyFill="1" applyBorder="1" applyAlignment="1">
      <alignment horizontal="center" vertical="center"/>
    </xf>
    <xf numFmtId="0" fontId="31" fillId="25" borderId="120" xfId="0" applyFont="1" applyFill="1" applyBorder="1" applyAlignment="1">
      <alignment horizontal="center" vertical="center" wrapText="1"/>
    </xf>
    <xf numFmtId="0" fontId="31" fillId="25" borderId="121" xfId="0" applyFont="1" applyFill="1" applyBorder="1" applyAlignment="1">
      <alignment horizontal="center" vertical="center"/>
    </xf>
    <xf numFmtId="0" fontId="31" fillId="17" borderId="72" xfId="0" applyFont="1" applyFill="1" applyBorder="1" applyAlignment="1">
      <alignment vertical="center"/>
    </xf>
    <xf numFmtId="0" fontId="31" fillId="17" borderId="117" xfId="0" applyFont="1" applyFill="1" applyBorder="1" applyAlignment="1">
      <alignment horizontal="center" vertical="center"/>
    </xf>
    <xf numFmtId="0" fontId="31" fillId="17" borderId="118" xfId="0" applyFont="1" applyFill="1" applyBorder="1" applyAlignment="1">
      <alignment vertical="center"/>
    </xf>
    <xf numFmtId="0" fontId="31" fillId="17" borderId="119" xfId="0" applyFont="1" applyFill="1" applyBorder="1" applyAlignment="1">
      <alignment horizontal="center" vertical="center"/>
    </xf>
    <xf numFmtId="0" fontId="31" fillId="17" borderId="120" xfId="0" applyFont="1" applyFill="1" applyBorder="1" applyAlignment="1">
      <alignment vertical="center"/>
    </xf>
    <xf numFmtId="0" fontId="31" fillId="17" borderId="121" xfId="0" applyFont="1" applyFill="1" applyBorder="1" applyAlignment="1">
      <alignment horizontal="center" vertical="center"/>
    </xf>
    <xf numFmtId="0" fontId="31" fillId="0" borderId="72" xfId="0" applyFont="1" applyBorder="1" applyAlignment="1">
      <alignment horizontal="center" vertical="center" wrapText="1"/>
    </xf>
    <xf numFmtId="0" fontId="31" fillId="0" borderId="78" xfId="0" applyFont="1" applyBorder="1" applyAlignment="1">
      <alignment horizontal="center" vertical="center" wrapText="1"/>
    </xf>
    <xf numFmtId="0" fontId="31" fillId="17" borderId="122" xfId="0" applyFont="1" applyFill="1" applyBorder="1" applyAlignment="1">
      <alignment horizontal="center" vertical="center"/>
    </xf>
    <xf numFmtId="0" fontId="31" fillId="0" borderId="118" xfId="0" applyFont="1" applyBorder="1" applyAlignment="1">
      <alignment horizontal="center" vertical="center" wrapText="1"/>
    </xf>
    <xf numFmtId="0" fontId="31" fillId="0" borderId="118" xfId="0" applyFont="1" applyBorder="1" applyAlignment="1">
      <alignment horizontal="center" vertical="center"/>
    </xf>
    <xf numFmtId="0" fontId="31" fillId="0" borderId="120" xfId="0" applyFont="1" applyBorder="1" applyAlignment="1">
      <alignment horizontal="center" vertical="center"/>
    </xf>
    <xf numFmtId="0" fontId="31" fillId="20" borderId="119" xfId="0" applyFont="1" applyFill="1" applyBorder="1" applyAlignment="1">
      <alignment horizontal="center" vertical="center"/>
    </xf>
    <xf numFmtId="0" fontId="51" fillId="0" borderId="112" xfId="0" applyFont="1" applyBorder="1" applyAlignment="1">
      <alignment horizontal="center" vertical="center"/>
    </xf>
    <xf numFmtId="0" fontId="51" fillId="0" borderId="113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" fontId="30" fillId="0" borderId="123" xfId="0" applyNumberFormat="1" applyFont="1" applyBorder="1" applyAlignment="1">
      <alignment horizontal="center" vertical="center"/>
    </xf>
    <xf numFmtId="0" fontId="53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0" fontId="42" fillId="0" borderId="59" xfId="0" applyFont="1" applyBorder="1" applyAlignment="1">
      <alignment horizontal="center" vertical="center"/>
    </xf>
    <xf numFmtId="0" fontId="42" fillId="0" borderId="129" xfId="0" applyFont="1" applyBorder="1" applyAlignment="1">
      <alignment vertical="center"/>
    </xf>
    <xf numFmtId="0" fontId="0" fillId="0" borderId="112" xfId="0" applyBorder="1" applyAlignment="1">
      <alignment vertical="center"/>
    </xf>
    <xf numFmtId="0" fontId="1" fillId="0" borderId="112" xfId="0" applyFont="1" applyBorder="1" applyAlignment="1">
      <alignment vertical="center"/>
    </xf>
    <xf numFmtId="1" fontId="0" fillId="0" borderId="112" xfId="0" applyNumberFormat="1" applyBorder="1" applyAlignment="1">
      <alignment vertical="center"/>
    </xf>
    <xf numFmtId="0" fontId="0" fillId="0" borderId="130" xfId="0" applyBorder="1" applyAlignment="1">
      <alignment vertical="center"/>
    </xf>
    <xf numFmtId="0" fontId="0" fillId="0" borderId="129" xfId="0" applyBorder="1" applyAlignment="1">
      <alignment vertical="center"/>
    </xf>
    <xf numFmtId="0" fontId="0" fillId="0" borderId="112" xfId="0" applyBorder="1" applyAlignment="1">
      <alignment horizontal="center" vertical="center"/>
    </xf>
    <xf numFmtId="0" fontId="30" fillId="0" borderId="59" xfId="0" applyFont="1" applyBorder="1" applyAlignment="1">
      <alignment vertical="center"/>
    </xf>
    <xf numFmtId="0" fontId="30" fillId="0" borderId="129" xfId="0" applyFont="1" applyBorder="1" applyAlignment="1">
      <alignment vertical="center"/>
    </xf>
    <xf numFmtId="0" fontId="31" fillId="0" borderId="121" xfId="0" applyFont="1" applyBorder="1" applyAlignment="1">
      <alignment horizontal="center" vertical="center"/>
    </xf>
    <xf numFmtId="0" fontId="5" fillId="3" borderId="79" xfId="0" applyFont="1" applyFill="1" applyBorder="1" applyAlignment="1">
      <alignment horizontal="center" vertical="center"/>
    </xf>
    <xf numFmtId="0" fontId="5" fillId="3" borderId="91" xfId="0" applyFont="1" applyFill="1" applyBorder="1" applyAlignment="1">
      <alignment horizontal="center" vertical="center"/>
    </xf>
    <xf numFmtId="0" fontId="5" fillId="3" borderId="66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4" fillId="0" borderId="86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89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90" xfId="0" applyFont="1" applyBorder="1" applyAlignment="1">
      <alignment horizontal="center" vertical="center"/>
    </xf>
    <xf numFmtId="0" fontId="22" fillId="6" borderId="81" xfId="0" applyFont="1" applyFill="1" applyBorder="1" applyAlignment="1">
      <alignment horizontal="center" vertical="center"/>
    </xf>
    <xf numFmtId="0" fontId="9" fillId="6" borderId="82" xfId="0" applyFont="1" applyFill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17" fillId="0" borderId="63" xfId="0" applyFont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3" fillId="0" borderId="86" xfId="0" applyFont="1" applyBorder="1" applyAlignment="1">
      <alignment horizontal="left" vertical="top" wrapText="1"/>
    </xf>
    <xf numFmtId="0" fontId="3" fillId="0" borderId="87" xfId="0" applyFont="1" applyBorder="1" applyAlignment="1">
      <alignment horizontal="left" vertical="top" wrapText="1"/>
    </xf>
    <xf numFmtId="0" fontId="3" fillId="0" borderId="88" xfId="0" applyFont="1" applyBorder="1" applyAlignment="1">
      <alignment horizontal="left" vertical="top" wrapText="1"/>
    </xf>
    <xf numFmtId="0" fontId="3" fillId="0" borderId="89" xfId="0" applyFont="1" applyBorder="1" applyAlignment="1">
      <alignment horizontal="left" vertical="top" wrapText="1"/>
    </xf>
    <xf numFmtId="0" fontId="3" fillId="0" borderId="63" xfId="0" applyFont="1" applyBorder="1" applyAlignment="1">
      <alignment horizontal="left" vertical="top" wrapText="1"/>
    </xf>
    <xf numFmtId="0" fontId="3" fillId="0" borderId="90" xfId="0" applyFont="1" applyBorder="1" applyAlignment="1">
      <alignment horizontal="left" vertical="top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2" fontId="5" fillId="3" borderId="79" xfId="0" applyNumberFormat="1" applyFont="1" applyFill="1" applyBorder="1" applyAlignment="1">
      <alignment horizontal="center" vertical="center" wrapText="1"/>
    </xf>
    <xf numFmtId="2" fontId="5" fillId="3" borderId="59" xfId="0" applyNumberFormat="1" applyFont="1" applyFill="1" applyBorder="1" applyAlignment="1">
      <alignment horizontal="center" vertical="center" wrapText="1"/>
    </xf>
    <xf numFmtId="2" fontId="5" fillId="3" borderId="33" xfId="0" applyNumberFormat="1" applyFont="1" applyFill="1" applyBorder="1" applyAlignment="1">
      <alignment horizontal="center" vertical="center" wrapText="1"/>
    </xf>
    <xf numFmtId="2" fontId="5" fillId="3" borderId="76" xfId="0" applyNumberFormat="1" applyFont="1" applyFill="1" applyBorder="1" applyAlignment="1">
      <alignment horizontal="center" vertical="center" wrapText="1"/>
    </xf>
    <xf numFmtId="0" fontId="5" fillId="3" borderId="79" xfId="0" applyFont="1" applyFill="1" applyBorder="1" applyAlignment="1">
      <alignment horizontal="center" vertical="center" wrapText="1"/>
    </xf>
    <xf numFmtId="0" fontId="5" fillId="3" borderId="59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66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91" xfId="0" applyFont="1" applyFill="1" applyBorder="1" applyAlignment="1">
      <alignment horizontal="center" vertical="center" wrapText="1"/>
    </xf>
    <xf numFmtId="0" fontId="5" fillId="3" borderId="85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92" xfId="0" applyFont="1" applyFill="1" applyBorder="1" applyAlignment="1">
      <alignment horizontal="center" vertical="center" wrapText="1"/>
    </xf>
    <xf numFmtId="2" fontId="8" fillId="3" borderId="98" xfId="0" applyNumberFormat="1" applyFont="1" applyFill="1" applyBorder="1" applyAlignment="1">
      <alignment horizontal="center" vertical="center"/>
    </xf>
    <xf numFmtId="2" fontId="8" fillId="3" borderId="99" xfId="0" applyNumberFormat="1" applyFont="1" applyFill="1" applyBorder="1" applyAlignment="1">
      <alignment horizontal="center" vertical="center"/>
    </xf>
    <xf numFmtId="2" fontId="8" fillId="3" borderId="100" xfId="0" applyNumberFormat="1" applyFont="1" applyFill="1" applyBorder="1" applyAlignment="1">
      <alignment horizontal="center" vertical="center"/>
    </xf>
    <xf numFmtId="2" fontId="8" fillId="3" borderId="101" xfId="0" applyNumberFormat="1" applyFont="1" applyFill="1" applyBorder="1" applyAlignment="1">
      <alignment horizontal="center" vertical="center"/>
    </xf>
    <xf numFmtId="2" fontId="8" fillId="3" borderId="102" xfId="0" applyNumberFormat="1" applyFont="1" applyFill="1" applyBorder="1" applyAlignment="1">
      <alignment horizontal="center" vertical="center"/>
    </xf>
    <xf numFmtId="0" fontId="8" fillId="3" borderId="81" xfId="0" applyFont="1" applyFill="1" applyBorder="1" applyAlignment="1">
      <alignment horizontal="center" vertical="center" wrapText="1"/>
    </xf>
    <xf numFmtId="0" fontId="8" fillId="3" borderId="8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8" fillId="3" borderId="8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73" xfId="0" applyFont="1" applyFill="1" applyBorder="1" applyAlignment="1">
      <alignment horizontal="center" vertical="center"/>
    </xf>
    <xf numFmtId="0" fontId="8" fillId="3" borderId="84" xfId="0" applyFont="1" applyFill="1" applyBorder="1" applyAlignment="1">
      <alignment horizontal="center" vertical="center"/>
    </xf>
    <xf numFmtId="0" fontId="8" fillId="3" borderId="79" xfId="0" applyFont="1" applyFill="1" applyBorder="1" applyAlignment="1">
      <alignment horizontal="center" vertical="center"/>
    </xf>
    <xf numFmtId="0" fontId="8" fillId="3" borderId="59" xfId="0" applyFont="1" applyFill="1" applyBorder="1" applyAlignment="1">
      <alignment horizontal="center" vertical="center"/>
    </xf>
    <xf numFmtId="0" fontId="8" fillId="3" borderId="91" xfId="0" applyFont="1" applyFill="1" applyBorder="1" applyAlignment="1">
      <alignment horizontal="center" vertical="center"/>
    </xf>
    <xf numFmtId="0" fontId="5" fillId="3" borderId="77" xfId="0" applyFont="1" applyFill="1" applyBorder="1" applyAlignment="1">
      <alignment horizontal="center" vertical="center" wrapText="1"/>
    </xf>
    <xf numFmtId="0" fontId="5" fillId="3" borderId="76" xfId="0" applyFont="1" applyFill="1" applyBorder="1" applyAlignment="1">
      <alignment horizontal="center" vertical="center" wrapText="1"/>
    </xf>
    <xf numFmtId="0" fontId="1" fillId="0" borderId="80" xfId="0" applyFont="1" applyBorder="1" applyAlignment="1">
      <alignment horizontal="left" vertical="center" wrapText="1"/>
    </xf>
    <xf numFmtId="0" fontId="1" fillId="0" borderId="93" xfId="0" applyFont="1" applyBorder="1" applyAlignment="1">
      <alignment horizontal="left" vertical="center" wrapText="1"/>
    </xf>
    <xf numFmtId="0" fontId="1" fillId="0" borderId="77" xfId="0" applyFont="1" applyBorder="1" applyAlignment="1">
      <alignment horizontal="left" vertical="center" wrapText="1"/>
    </xf>
    <xf numFmtId="0" fontId="1" fillId="0" borderId="76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8" fillId="3" borderId="26" xfId="0" applyFont="1" applyFill="1" applyBorder="1" applyAlignment="1">
      <alignment horizontal="center" vertical="center"/>
    </xf>
    <xf numFmtId="0" fontId="8" fillId="3" borderId="9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95" xfId="0" applyFont="1" applyFill="1" applyBorder="1" applyAlignment="1">
      <alignment horizontal="center" vertical="center"/>
    </xf>
    <xf numFmtId="0" fontId="8" fillId="3" borderId="79" xfId="0" applyFont="1" applyFill="1" applyBorder="1" applyAlignment="1">
      <alignment horizontal="center" vertical="center" wrapText="1"/>
    </xf>
    <xf numFmtId="0" fontId="8" fillId="3" borderId="59" xfId="0" applyFont="1" applyFill="1" applyBorder="1" applyAlignment="1">
      <alignment horizontal="center" vertical="center" wrapText="1"/>
    </xf>
    <xf numFmtId="0" fontId="8" fillId="3" borderId="96" xfId="0" applyFont="1" applyFill="1" applyBorder="1" applyAlignment="1">
      <alignment horizontal="center" vertical="center" wrapText="1"/>
    </xf>
    <xf numFmtId="0" fontId="8" fillId="3" borderId="97" xfId="0" applyFont="1" applyFill="1" applyBorder="1" applyAlignment="1">
      <alignment horizontal="center" vertical="center" wrapText="1"/>
    </xf>
    <xf numFmtId="2" fontId="7" fillId="6" borderId="79" xfId="0" applyNumberFormat="1" applyFont="1" applyFill="1" applyBorder="1" applyAlignment="1">
      <alignment horizontal="center" vertical="center" wrapText="1"/>
    </xf>
    <xf numFmtId="2" fontId="7" fillId="6" borderId="91" xfId="0" applyNumberFormat="1" applyFont="1" applyFill="1" applyBorder="1" applyAlignment="1">
      <alignment horizontal="center" vertical="center"/>
    </xf>
    <xf numFmtId="2" fontId="7" fillId="6" borderId="85" xfId="0" applyNumberFormat="1" applyFont="1" applyFill="1" applyBorder="1" applyAlignment="1">
      <alignment horizontal="center" vertical="center"/>
    </xf>
    <xf numFmtId="2" fontId="7" fillId="6" borderId="92" xfId="0" applyNumberFormat="1" applyFont="1" applyFill="1" applyBorder="1" applyAlignment="1">
      <alignment horizontal="center" vertical="center"/>
    </xf>
    <xf numFmtId="2" fontId="7" fillId="2" borderId="81" xfId="0" applyNumberFormat="1" applyFont="1" applyFill="1" applyBorder="1" applyAlignment="1">
      <alignment horizontal="center" vertical="center"/>
    </xf>
    <xf numFmtId="2" fontId="7" fillId="2" borderId="82" xfId="0" applyNumberFormat="1" applyFont="1" applyFill="1" applyBorder="1" applyAlignment="1">
      <alignment horizontal="center" vertical="center"/>
    </xf>
    <xf numFmtId="2" fontId="7" fillId="3" borderId="81" xfId="0" applyNumberFormat="1" applyFont="1" applyFill="1" applyBorder="1" applyAlignment="1">
      <alignment horizontal="center" vertical="center"/>
    </xf>
    <xf numFmtId="2" fontId="7" fillId="3" borderId="82" xfId="0" applyNumberFormat="1" applyFont="1" applyFill="1" applyBorder="1" applyAlignment="1">
      <alignment horizontal="center" vertical="center"/>
    </xf>
    <xf numFmtId="2" fontId="7" fillId="4" borderId="79" xfId="0" applyNumberFormat="1" applyFont="1" applyFill="1" applyBorder="1" applyAlignment="1">
      <alignment horizontal="center" vertical="center" wrapText="1"/>
    </xf>
    <xf numFmtId="2" fontId="7" fillId="4" borderId="91" xfId="0" applyNumberFormat="1" applyFont="1" applyFill="1" applyBorder="1" applyAlignment="1">
      <alignment horizontal="center" vertical="center"/>
    </xf>
    <xf numFmtId="2" fontId="7" fillId="4" borderId="85" xfId="0" applyNumberFormat="1" applyFont="1" applyFill="1" applyBorder="1" applyAlignment="1">
      <alignment horizontal="center" vertical="center"/>
    </xf>
    <xf numFmtId="2" fontId="7" fillId="4" borderId="92" xfId="0" applyNumberFormat="1" applyFont="1" applyFill="1" applyBorder="1" applyAlignment="1">
      <alignment horizontal="center" vertical="center"/>
    </xf>
    <xf numFmtId="2" fontId="7" fillId="5" borderId="79" xfId="0" applyNumberFormat="1" applyFont="1" applyFill="1" applyBorder="1" applyAlignment="1">
      <alignment horizontal="center" vertical="center" wrapText="1"/>
    </xf>
    <xf numFmtId="2" fontId="7" fillId="5" borderId="91" xfId="0" applyNumberFormat="1" applyFont="1" applyFill="1" applyBorder="1" applyAlignment="1">
      <alignment horizontal="center" vertical="center"/>
    </xf>
    <xf numFmtId="2" fontId="7" fillId="5" borderId="85" xfId="0" applyNumberFormat="1" applyFont="1" applyFill="1" applyBorder="1" applyAlignment="1">
      <alignment horizontal="center" vertical="center"/>
    </xf>
    <xf numFmtId="2" fontId="7" fillId="5" borderId="92" xfId="0" applyNumberFormat="1" applyFont="1" applyFill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3" fillId="6" borderId="81" xfId="0" applyFont="1" applyFill="1" applyBorder="1" applyAlignment="1">
      <alignment horizontal="center" vertical="center"/>
    </xf>
    <xf numFmtId="0" fontId="33" fillId="6" borderId="82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4" fontId="23" fillId="0" borderId="0" xfId="0" applyNumberFormat="1" applyFont="1" applyAlignment="1">
      <alignment horizontal="center" vertical="center"/>
    </xf>
    <xf numFmtId="0" fontId="24" fillId="0" borderId="63" xfId="0" applyFont="1" applyBorder="1" applyAlignment="1">
      <alignment horizontal="center" vertical="center" wrapText="1"/>
    </xf>
    <xf numFmtId="0" fontId="35" fillId="0" borderId="86" xfId="0" applyFont="1" applyBorder="1" applyAlignment="1">
      <alignment horizontal="left" vertical="center" wrapText="1"/>
    </xf>
    <xf numFmtId="0" fontId="35" fillId="0" borderId="87" xfId="0" applyFont="1" applyBorder="1" applyAlignment="1">
      <alignment horizontal="left" vertical="center" wrapText="1"/>
    </xf>
    <xf numFmtId="0" fontId="35" fillId="0" borderId="88" xfId="0" applyFont="1" applyBorder="1" applyAlignment="1">
      <alignment horizontal="left" vertical="center" wrapText="1"/>
    </xf>
    <xf numFmtId="0" fontId="35" fillId="0" borderId="89" xfId="0" applyFont="1" applyBorder="1" applyAlignment="1">
      <alignment horizontal="left" vertical="center" wrapText="1"/>
    </xf>
    <xf numFmtId="0" fontId="35" fillId="0" borderId="63" xfId="0" applyFont="1" applyBorder="1" applyAlignment="1">
      <alignment horizontal="left" vertical="center" wrapText="1"/>
    </xf>
    <xf numFmtId="0" fontId="35" fillId="0" borderId="90" xfId="0" applyFont="1" applyBorder="1" applyAlignment="1">
      <alignment horizontal="left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7" fillId="3" borderId="24" xfId="0" applyFont="1" applyFill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27" fillId="3" borderId="25" xfId="0" applyFont="1" applyFill="1" applyBorder="1" applyAlignment="1">
      <alignment horizontal="center" vertical="center"/>
    </xf>
    <xf numFmtId="0" fontId="27" fillId="3" borderId="12" xfId="0" applyFont="1" applyFill="1" applyBorder="1" applyAlignment="1">
      <alignment horizontal="center" vertical="center" wrapText="1"/>
    </xf>
    <xf numFmtId="0" fontId="34" fillId="3" borderId="2" xfId="0" applyFont="1" applyFill="1" applyBorder="1" applyAlignment="1">
      <alignment horizontal="center" vertical="center" wrapText="1"/>
    </xf>
    <xf numFmtId="0" fontId="34" fillId="3" borderId="29" xfId="0" applyFont="1" applyFill="1" applyBorder="1" applyAlignment="1">
      <alignment horizontal="center" vertical="center" wrapText="1"/>
    </xf>
    <xf numFmtId="0" fontId="34" fillId="3" borderId="13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/>
    </xf>
    <xf numFmtId="0" fontId="28" fillId="3" borderId="24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 wrapText="1"/>
    </xf>
    <xf numFmtId="0" fontId="28" fillId="3" borderId="30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/>
    </xf>
    <xf numFmtId="0" fontId="32" fillId="3" borderId="24" xfId="0" applyFont="1" applyFill="1" applyBorder="1" applyAlignment="1">
      <alignment horizontal="center" vertical="center"/>
    </xf>
    <xf numFmtId="0" fontId="32" fillId="3" borderId="4" xfId="0" applyFont="1" applyFill="1" applyBorder="1" applyAlignment="1">
      <alignment horizontal="center" vertical="center" wrapText="1"/>
    </xf>
    <xf numFmtId="0" fontId="32" fillId="3" borderId="25" xfId="0" applyFont="1" applyFill="1" applyBorder="1" applyAlignment="1">
      <alignment horizontal="center" vertical="center" wrapText="1"/>
    </xf>
    <xf numFmtId="0" fontId="32" fillId="3" borderId="6" xfId="0" applyFont="1" applyFill="1" applyBorder="1" applyAlignment="1">
      <alignment horizontal="center" vertical="center" wrapText="1"/>
    </xf>
    <xf numFmtId="0" fontId="32" fillId="3" borderId="30" xfId="0" applyFont="1" applyFill="1" applyBorder="1" applyAlignment="1">
      <alignment horizontal="center" vertical="center" wrapText="1"/>
    </xf>
    <xf numFmtId="0" fontId="27" fillId="3" borderId="79" xfId="0" applyFont="1" applyFill="1" applyBorder="1" applyAlignment="1">
      <alignment horizontal="center" vertical="center" wrapText="1"/>
    </xf>
    <xf numFmtId="0" fontId="27" fillId="3" borderId="59" xfId="0" applyFont="1" applyFill="1" applyBorder="1" applyAlignment="1">
      <alignment horizontal="center" vertical="center" wrapText="1"/>
    </xf>
    <xf numFmtId="0" fontId="27" fillId="3" borderId="33" xfId="0" applyFont="1" applyFill="1" applyBorder="1" applyAlignment="1">
      <alignment horizontal="center" vertical="center" wrapText="1"/>
    </xf>
    <xf numFmtId="0" fontId="27" fillId="3" borderId="85" xfId="0" applyFont="1" applyFill="1" applyBorder="1" applyAlignment="1">
      <alignment horizontal="center" vertical="center" wrapText="1"/>
    </xf>
    <xf numFmtId="0" fontId="27" fillId="3" borderId="9" xfId="0" applyFont="1" applyFill="1" applyBorder="1" applyAlignment="1">
      <alignment horizontal="center" vertical="center" wrapText="1"/>
    </xf>
    <xf numFmtId="0" fontId="27" fillId="3" borderId="81" xfId="0" applyFont="1" applyFill="1" applyBorder="1" applyAlignment="1">
      <alignment horizontal="center" vertical="center" wrapText="1"/>
    </xf>
    <xf numFmtId="0" fontId="27" fillId="3" borderId="83" xfId="0" applyFont="1" applyFill="1" applyBorder="1" applyAlignment="1">
      <alignment horizontal="center" vertical="center" wrapText="1"/>
    </xf>
    <xf numFmtId="2" fontId="28" fillId="3" borderId="59" xfId="0" applyNumberFormat="1" applyFont="1" applyFill="1" applyBorder="1" applyAlignment="1">
      <alignment horizontal="center" vertical="center"/>
    </xf>
    <xf numFmtId="2" fontId="28" fillId="3" borderId="0" xfId="0" applyNumberFormat="1" applyFont="1" applyFill="1" applyAlignment="1">
      <alignment horizontal="center" vertical="center"/>
    </xf>
    <xf numFmtId="2" fontId="28" fillId="3" borderId="91" xfId="0" applyNumberFormat="1" applyFont="1" applyFill="1" applyBorder="1" applyAlignment="1">
      <alignment horizontal="center" vertical="center"/>
    </xf>
    <xf numFmtId="2" fontId="28" fillId="3" borderId="55" xfId="0" applyNumberFormat="1" applyFont="1" applyFill="1" applyBorder="1" applyAlignment="1">
      <alignment horizontal="center" vertical="center"/>
    </xf>
    <xf numFmtId="0" fontId="28" fillId="3" borderId="79" xfId="0" applyFont="1" applyFill="1" applyBorder="1" applyAlignment="1">
      <alignment horizontal="center" vertical="center" wrapText="1"/>
    </xf>
    <xf numFmtId="0" fontId="28" fillId="3" borderId="96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28" fillId="3" borderId="26" xfId="0" applyFont="1" applyFill="1" applyBorder="1" applyAlignment="1">
      <alignment horizontal="center" vertical="center" wrapText="1"/>
    </xf>
    <xf numFmtId="2" fontId="28" fillId="3" borderId="79" xfId="0" applyNumberFormat="1" applyFont="1" applyFill="1" applyBorder="1" applyAlignment="1">
      <alignment horizontal="center" vertical="center"/>
    </xf>
    <xf numFmtId="2" fontId="28" fillId="3" borderId="66" xfId="0" applyNumberFormat="1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 wrapText="1"/>
    </xf>
    <xf numFmtId="2" fontId="27" fillId="3" borderId="79" xfId="0" applyNumberFormat="1" applyFont="1" applyFill="1" applyBorder="1" applyAlignment="1">
      <alignment horizontal="center" vertical="center" wrapText="1"/>
    </xf>
    <xf numFmtId="2" fontId="27" fillId="3" borderId="59" xfId="0" applyNumberFormat="1" applyFont="1" applyFill="1" applyBorder="1" applyAlignment="1">
      <alignment horizontal="center" vertical="center" wrapText="1"/>
    </xf>
    <xf numFmtId="2" fontId="27" fillId="3" borderId="91" xfId="0" applyNumberFormat="1" applyFont="1" applyFill="1" applyBorder="1" applyAlignment="1">
      <alignment horizontal="center" vertical="center" wrapText="1"/>
    </xf>
    <xf numFmtId="2" fontId="23" fillId="2" borderId="81" xfId="0" applyNumberFormat="1" applyFont="1" applyFill="1" applyBorder="1" applyAlignment="1">
      <alignment horizontal="center" vertical="center"/>
    </xf>
    <xf numFmtId="2" fontId="23" fillId="2" borderId="82" xfId="0" applyNumberFormat="1" applyFont="1" applyFill="1" applyBorder="1" applyAlignment="1">
      <alignment horizontal="center" vertical="center"/>
    </xf>
    <xf numFmtId="0" fontId="28" fillId="3" borderId="81" xfId="0" applyFont="1" applyFill="1" applyBorder="1" applyAlignment="1">
      <alignment horizontal="center" vertical="center" wrapText="1"/>
    </xf>
    <xf numFmtId="0" fontId="28" fillId="3" borderId="83" xfId="0" applyFont="1" applyFill="1" applyBorder="1" applyAlignment="1">
      <alignment horizontal="center" vertical="center" wrapText="1"/>
    </xf>
    <xf numFmtId="0" fontId="28" fillId="3" borderId="79" xfId="0" applyFont="1" applyFill="1" applyBorder="1" applyAlignment="1">
      <alignment horizontal="center" vertical="center"/>
    </xf>
    <xf numFmtId="0" fontId="28" fillId="3" borderId="85" xfId="0" applyFont="1" applyFill="1" applyBorder="1" applyAlignment="1">
      <alignment horizontal="center" vertical="center"/>
    </xf>
    <xf numFmtId="0" fontId="27" fillId="3" borderId="66" xfId="0" applyFont="1" applyFill="1" applyBorder="1" applyAlignment="1">
      <alignment horizontal="center" vertical="center" wrapText="1"/>
    </xf>
    <xf numFmtId="0" fontId="27" fillId="3" borderId="73" xfId="0" applyFont="1" applyFill="1" applyBorder="1" applyAlignment="1">
      <alignment horizontal="center" vertical="center" wrapText="1"/>
    </xf>
    <xf numFmtId="0" fontId="27" fillId="3" borderId="84" xfId="0" applyFont="1" applyFill="1" applyBorder="1" applyAlignment="1">
      <alignment horizontal="center" vertical="center" wrapText="1"/>
    </xf>
    <xf numFmtId="0" fontId="27" fillId="3" borderId="74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30" fillId="0" borderId="129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7" fillId="23" borderId="81" xfId="0" applyFont="1" applyFill="1" applyBorder="1" applyAlignment="1">
      <alignment horizontal="center" vertical="center" wrapText="1"/>
    </xf>
    <xf numFmtId="0" fontId="37" fillId="23" borderId="82" xfId="0" applyFont="1" applyFill="1" applyBorder="1" applyAlignment="1">
      <alignment horizontal="center" vertical="center" wrapText="1"/>
    </xf>
    <xf numFmtId="0" fontId="37" fillId="22" borderId="81" xfId="0" applyFont="1" applyFill="1" applyBorder="1" applyAlignment="1">
      <alignment horizontal="center" vertical="center"/>
    </xf>
    <xf numFmtId="0" fontId="37" fillId="22" borderId="83" xfId="0" applyFont="1" applyFill="1" applyBorder="1" applyAlignment="1">
      <alignment horizontal="center" vertical="center"/>
    </xf>
    <xf numFmtId="0" fontId="37" fillId="22" borderId="82" xfId="0" applyFont="1" applyFill="1" applyBorder="1" applyAlignment="1">
      <alignment horizontal="center" vertical="center"/>
    </xf>
    <xf numFmtId="0" fontId="50" fillId="0" borderId="112" xfId="0" applyFont="1" applyBorder="1" applyAlignment="1">
      <alignment horizontal="center" vertical="center"/>
    </xf>
    <xf numFmtId="0" fontId="27" fillId="18" borderId="81" xfId="0" applyFont="1" applyFill="1" applyBorder="1" applyAlignment="1">
      <alignment horizontal="center" vertical="center" wrapText="1"/>
    </xf>
    <xf numFmtId="0" fontId="27" fillId="18" borderId="82" xfId="0" applyFont="1" applyFill="1" applyBorder="1" applyAlignment="1">
      <alignment horizontal="center" vertical="center" wrapText="1"/>
    </xf>
    <xf numFmtId="0" fontId="31" fillId="0" borderId="59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42" fillId="0" borderId="129" xfId="0" applyFont="1" applyBorder="1" applyAlignment="1">
      <alignment horizontal="center" vertical="center"/>
    </xf>
    <xf numFmtId="0" fontId="36" fillId="0" borderId="81" xfId="0" applyFont="1" applyBorder="1" applyAlignment="1">
      <alignment horizontal="center" vertical="center"/>
    </xf>
    <xf numFmtId="0" fontId="36" fillId="0" borderId="83" xfId="0" applyFont="1" applyBorder="1" applyAlignment="1">
      <alignment horizontal="center" vertical="center"/>
    </xf>
    <xf numFmtId="0" fontId="36" fillId="0" borderId="82" xfId="0" applyFont="1" applyBorder="1" applyAlignment="1">
      <alignment horizontal="center" vertical="center"/>
    </xf>
    <xf numFmtId="0" fontId="37" fillId="16" borderId="81" xfId="0" applyFont="1" applyFill="1" applyBorder="1" applyAlignment="1">
      <alignment horizontal="center" vertical="center"/>
    </xf>
    <xf numFmtId="0" fontId="37" fillId="16" borderId="83" xfId="0" applyFont="1" applyFill="1" applyBorder="1" applyAlignment="1">
      <alignment horizontal="center" vertical="center"/>
    </xf>
    <xf numFmtId="0" fontId="37" fillId="16" borderId="82" xfId="0" applyFont="1" applyFill="1" applyBorder="1" applyAlignment="1">
      <alignment horizontal="center" vertical="center"/>
    </xf>
    <xf numFmtId="0" fontId="37" fillId="16" borderId="127" xfId="0" applyFont="1" applyFill="1" applyBorder="1" applyAlignment="1">
      <alignment horizontal="center" vertical="center"/>
    </xf>
    <xf numFmtId="0" fontId="37" fillId="16" borderId="128" xfId="0" applyFont="1" applyFill="1" applyBorder="1" applyAlignment="1">
      <alignment horizontal="center" vertical="center"/>
    </xf>
    <xf numFmtId="0" fontId="38" fillId="0" borderId="81" xfId="0" applyFont="1" applyBorder="1" applyAlignment="1">
      <alignment horizontal="center" vertical="center"/>
    </xf>
    <xf numFmtId="0" fontId="38" fillId="0" borderId="83" xfId="0" applyFont="1" applyBorder="1" applyAlignment="1">
      <alignment horizontal="center" vertical="center"/>
    </xf>
    <xf numFmtId="0" fontId="38" fillId="0" borderId="82" xfId="0" applyFont="1" applyBorder="1" applyAlignment="1">
      <alignment horizontal="center" vertical="center"/>
    </xf>
    <xf numFmtId="0" fontId="43" fillId="23" borderId="66" xfId="0" applyFont="1" applyFill="1" applyBorder="1" applyAlignment="1">
      <alignment horizontal="center" vertical="center" wrapText="1"/>
    </xf>
    <xf numFmtId="0" fontId="43" fillId="23" borderId="55" xfId="0" applyFont="1" applyFill="1" applyBorder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50" fillId="0" borderId="113" xfId="0" applyFont="1" applyBorder="1" applyAlignment="1">
      <alignment horizontal="center" vertical="center"/>
    </xf>
    <xf numFmtId="0" fontId="37" fillId="23" borderId="83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0" fillId="0" borderId="116" xfId="0" applyFont="1" applyBorder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4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2" fillId="0" borderId="0" xfId="0" applyFont="1" applyAlignment="1">
      <alignment horizontal="right" vertical="center" wrapText="1"/>
    </xf>
    <xf numFmtId="0" fontId="44" fillId="0" borderId="118" xfId="0" applyFont="1" applyBorder="1" applyAlignment="1">
      <alignment horizontal="center" vertical="center"/>
    </xf>
    <xf numFmtId="0" fontId="45" fillId="0" borderId="118" xfId="0" applyFont="1" applyBorder="1" applyAlignment="1">
      <alignment horizontal="center" vertical="center" wrapText="1"/>
    </xf>
    <xf numFmtId="0" fontId="45" fillId="0" borderId="120" xfId="0" applyFont="1" applyBorder="1" applyAlignment="1">
      <alignment horizontal="center" vertical="center" wrapText="1"/>
    </xf>
  </cellXfs>
  <cellStyles count="4">
    <cellStyle name="Euro" xfId="1" xr:uid="{00000000-0005-0000-0000-000000000000}"/>
    <cellStyle name="Lien hypertexte" xfId="2" builtinId="8"/>
    <cellStyle name="Monétaire" xfId="3" builtinId="4"/>
    <cellStyle name="Normal" xfId="0" builtinId="0"/>
  </cellStyles>
  <dxfs count="29"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rgb="FF9C0006"/>
      </font>
      <fill>
        <patternFill>
          <bgColor rgb="FFFFFF99"/>
        </patternFill>
      </fill>
    </dxf>
    <dxf>
      <font>
        <color rgb="FF9C0006"/>
      </font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FF99"/>
        </patternFill>
      </fill>
    </dxf>
    <dxf>
      <font>
        <color rgb="FF9C0006"/>
      </font>
      <fill>
        <patternFill>
          <bgColor rgb="FFFFFF99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rgb="FF9C0006"/>
      </font>
      <fill>
        <patternFill>
          <bgColor rgb="FFFFFF99"/>
        </patternFill>
      </fill>
    </dxf>
    <dxf>
      <font>
        <color rgb="FF9C0006"/>
      </font>
      <fill>
        <patternFill>
          <bgColor rgb="FFFFFF99"/>
        </patternFill>
      </fill>
    </dxf>
    <dxf>
      <font>
        <color rgb="FF9C0006"/>
      </font>
      <fill>
        <patternFill>
          <bgColor rgb="FFFFFF99"/>
        </patternFill>
      </fill>
    </dxf>
    <dxf>
      <font>
        <color rgb="FF9C0006"/>
      </font>
      <fill>
        <patternFill>
          <bgColor rgb="FFFFFF99"/>
        </patternFill>
      </fill>
    </dxf>
    <dxf>
      <font>
        <color auto="1"/>
      </font>
      <fill>
        <patternFill>
          <bgColor rgb="FFFF000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36</xdr:row>
      <xdr:rowOff>0</xdr:rowOff>
    </xdr:from>
    <xdr:to>
      <xdr:col>28</xdr:col>
      <xdr:colOff>0</xdr:colOff>
      <xdr:row>36</xdr:row>
      <xdr:rowOff>0</xdr:rowOff>
    </xdr:to>
    <xdr:pic>
      <xdr:nvPicPr>
        <xdr:cNvPr id="124473" name="Image 2">
          <a:extLst>
            <a:ext uri="{FF2B5EF4-FFF2-40B4-BE49-F238E27FC236}">
              <a16:creationId xmlns:a16="http://schemas.microsoft.com/office/drawing/2014/main" id="{09BBA8EF-85EE-0E5D-1781-F2AB56B52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92875" y="13134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93</xdr:col>
      <xdr:colOff>0</xdr:colOff>
      <xdr:row>9</xdr:row>
      <xdr:rowOff>0</xdr:rowOff>
    </xdr:from>
    <xdr:to>
      <xdr:col>93</xdr:col>
      <xdr:colOff>0</xdr:colOff>
      <xdr:row>9</xdr:row>
      <xdr:rowOff>0</xdr:rowOff>
    </xdr:to>
    <xdr:pic>
      <xdr:nvPicPr>
        <xdr:cNvPr id="124474" name="Image 2">
          <a:extLst>
            <a:ext uri="{FF2B5EF4-FFF2-40B4-BE49-F238E27FC236}">
              <a16:creationId xmlns:a16="http://schemas.microsoft.com/office/drawing/2014/main" id="{B54CBC80-6FF6-2D06-F964-42BE78D1E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6047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93</xdr:col>
      <xdr:colOff>0</xdr:colOff>
      <xdr:row>39</xdr:row>
      <xdr:rowOff>0</xdr:rowOff>
    </xdr:from>
    <xdr:to>
      <xdr:col>93</xdr:col>
      <xdr:colOff>0</xdr:colOff>
      <xdr:row>39</xdr:row>
      <xdr:rowOff>0</xdr:rowOff>
    </xdr:to>
    <xdr:pic>
      <xdr:nvPicPr>
        <xdr:cNvPr id="124475" name="Image 2">
          <a:extLst>
            <a:ext uri="{FF2B5EF4-FFF2-40B4-BE49-F238E27FC236}">
              <a16:creationId xmlns:a16="http://schemas.microsoft.com/office/drawing/2014/main" id="{24943C14-80ED-3024-6F33-3983F5E98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60475" y="13763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93</xdr:col>
      <xdr:colOff>0</xdr:colOff>
      <xdr:row>9</xdr:row>
      <xdr:rowOff>0</xdr:rowOff>
    </xdr:from>
    <xdr:to>
      <xdr:col>93</xdr:col>
      <xdr:colOff>0</xdr:colOff>
      <xdr:row>9</xdr:row>
      <xdr:rowOff>0</xdr:rowOff>
    </xdr:to>
    <xdr:pic>
      <xdr:nvPicPr>
        <xdr:cNvPr id="124476" name="Image 2">
          <a:extLst>
            <a:ext uri="{FF2B5EF4-FFF2-40B4-BE49-F238E27FC236}">
              <a16:creationId xmlns:a16="http://schemas.microsoft.com/office/drawing/2014/main" id="{43DE3928-6304-161A-180F-09E6D8662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6047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106</xdr:col>
      <xdr:colOff>0</xdr:colOff>
      <xdr:row>9</xdr:row>
      <xdr:rowOff>0</xdr:rowOff>
    </xdr:from>
    <xdr:to>
      <xdr:col>106</xdr:col>
      <xdr:colOff>0</xdr:colOff>
      <xdr:row>9</xdr:row>
      <xdr:rowOff>0</xdr:rowOff>
    </xdr:to>
    <xdr:pic>
      <xdr:nvPicPr>
        <xdr:cNvPr id="124477" name="Image 2">
          <a:extLst>
            <a:ext uri="{FF2B5EF4-FFF2-40B4-BE49-F238E27FC236}">
              <a16:creationId xmlns:a16="http://schemas.microsoft.com/office/drawing/2014/main" id="{462B10AE-1D9E-4790-7E80-D70ED91EC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0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106</xdr:col>
      <xdr:colOff>0</xdr:colOff>
      <xdr:row>46</xdr:row>
      <xdr:rowOff>0</xdr:rowOff>
    </xdr:from>
    <xdr:to>
      <xdr:col>106</xdr:col>
      <xdr:colOff>0</xdr:colOff>
      <xdr:row>46</xdr:row>
      <xdr:rowOff>0</xdr:rowOff>
    </xdr:to>
    <xdr:pic>
      <xdr:nvPicPr>
        <xdr:cNvPr id="124478" name="Image 2">
          <a:extLst>
            <a:ext uri="{FF2B5EF4-FFF2-40B4-BE49-F238E27FC236}">
              <a16:creationId xmlns:a16="http://schemas.microsoft.com/office/drawing/2014/main" id="{499AC023-381E-97B9-27C2-D75F9D050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0" y="15916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10</xdr:row>
      <xdr:rowOff>0</xdr:rowOff>
    </xdr:from>
    <xdr:to>
      <xdr:col>41</xdr:col>
      <xdr:colOff>0</xdr:colOff>
      <xdr:row>10</xdr:row>
      <xdr:rowOff>0</xdr:rowOff>
    </xdr:to>
    <xdr:pic>
      <xdr:nvPicPr>
        <xdr:cNvPr id="109299" name="Image 2">
          <a:extLst>
            <a:ext uri="{FF2B5EF4-FFF2-40B4-BE49-F238E27FC236}">
              <a16:creationId xmlns:a16="http://schemas.microsoft.com/office/drawing/2014/main" id="{4CB1D0C5-C54C-2847-3B3C-C17D83B66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89125" y="3200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</xdr:row>
      <xdr:rowOff>0</xdr:rowOff>
    </xdr:from>
    <xdr:to>
      <xdr:col>14</xdr:col>
      <xdr:colOff>0</xdr:colOff>
      <xdr:row>10</xdr:row>
      <xdr:rowOff>0</xdr:rowOff>
    </xdr:to>
    <xdr:pic>
      <xdr:nvPicPr>
        <xdr:cNvPr id="109300" name="Image 2">
          <a:extLst>
            <a:ext uri="{FF2B5EF4-FFF2-40B4-BE49-F238E27FC236}">
              <a16:creationId xmlns:a16="http://schemas.microsoft.com/office/drawing/2014/main" id="{A1FBD46A-55B3-8353-592E-DF9399014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5400" y="3200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55</xdr:col>
      <xdr:colOff>691905</xdr:colOff>
      <xdr:row>154</xdr:row>
      <xdr:rowOff>127001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2064CED-E3AD-89E3-2C96-33B2FDFE59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"/>
          <a:ext cx="44348155" cy="245745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8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17">
    <tabColor indexed="42"/>
    <pageSetUpPr fitToPage="1"/>
  </sheetPr>
  <dimension ref="A1:DH66"/>
  <sheetViews>
    <sheetView showGridLines="0" showZeros="0" zoomScale="70" zoomScaleNormal="70" workbookViewId="0">
      <pane xSplit="3" ySplit="9" topLeftCell="AY10" activePane="bottomRight" state="frozen"/>
      <selection pane="topRight" activeCell="D1" sqref="D1"/>
      <selection pane="bottomLeft" activeCell="A10" sqref="A10"/>
      <selection pane="bottomRight" activeCell="BB25" sqref="BB25"/>
    </sheetView>
  </sheetViews>
  <sheetFormatPr baseColWidth="10" defaultColWidth="11.5703125" defaultRowHeight="15" x14ac:dyDescent="0.2"/>
  <cols>
    <col min="1" max="1" width="18.7109375" style="2" customWidth="1"/>
    <col min="2" max="2" width="40.7109375" style="3" customWidth="1"/>
    <col min="3" max="3" width="9.28515625" style="2" customWidth="1"/>
    <col min="4" max="4" width="10.7109375" style="2" customWidth="1"/>
    <col min="5" max="5" width="11.5703125" style="2" bestFit="1" customWidth="1"/>
    <col min="6" max="8" width="10.7109375" style="2" customWidth="1"/>
    <col min="9" max="10" width="15.7109375" style="3" customWidth="1"/>
    <col min="11" max="12" width="15.7109375" style="2" customWidth="1"/>
    <col min="13" max="13" width="1.140625" style="2" customWidth="1"/>
    <col min="14" max="28" width="6.7109375" style="1" customWidth="1"/>
    <col min="29" max="29" width="1.140625" style="3" customWidth="1"/>
    <col min="30" max="32" width="10.85546875" style="2" bestFit="1" customWidth="1"/>
    <col min="33" max="35" width="11.85546875" style="2" bestFit="1" customWidth="1"/>
    <col min="36" max="38" width="10.85546875" style="2" bestFit="1" customWidth="1"/>
    <col min="39" max="41" width="11.85546875" style="2" bestFit="1" customWidth="1"/>
    <col min="42" max="42" width="1.140625" style="3" customWidth="1"/>
    <col min="43" max="54" width="11.7109375" style="2" customWidth="1"/>
    <col min="55" max="55" width="1.140625" style="2" customWidth="1"/>
    <col min="56" max="58" width="13.42578125" style="2" customWidth="1"/>
    <col min="59" max="59" width="1.140625" style="2" customWidth="1"/>
    <col min="60" max="63" width="11.7109375" style="2" customWidth="1"/>
    <col min="64" max="64" width="1.140625" style="2" customWidth="1"/>
    <col min="65" max="76" width="11.7109375" style="2" customWidth="1"/>
    <col min="77" max="77" width="1.140625" style="3" customWidth="1"/>
    <col min="78" max="80" width="11.7109375" style="2" customWidth="1"/>
    <col min="81" max="81" width="1.140625" style="2" customWidth="1"/>
    <col min="82" max="85" width="11.7109375" style="2" customWidth="1"/>
    <col min="86" max="86" width="1.140625" style="3" customWidth="1"/>
    <col min="87" max="89" width="11.7109375" style="2" customWidth="1"/>
    <col min="90" max="90" width="1.140625" style="3" customWidth="1"/>
    <col min="91" max="93" width="17.140625" style="1" bestFit="1" customWidth="1"/>
    <col min="94" max="94" width="1.28515625" style="3" customWidth="1"/>
    <col min="95" max="97" width="17.140625" style="1" bestFit="1" customWidth="1"/>
    <col min="98" max="98" width="1.140625" style="3" customWidth="1"/>
    <col min="99" max="101" width="17.140625" style="1" bestFit="1" customWidth="1"/>
    <col min="102" max="102" width="1.140625" style="3" customWidth="1"/>
    <col min="103" max="103" width="17.140625" style="1" bestFit="1" customWidth="1"/>
    <col min="104" max="104" width="15.42578125" style="1" bestFit="1" customWidth="1"/>
    <col min="105" max="105" width="17.140625" style="1" bestFit="1" customWidth="1"/>
    <col min="106" max="106" width="1.140625" style="3" customWidth="1"/>
    <col min="107" max="107" width="11.5703125" style="3"/>
    <col min="108" max="111" width="11.5703125" style="3" customWidth="1"/>
    <col min="112" max="112" width="11.5703125" style="3"/>
    <col min="113" max="116" width="11.5703125" style="3" customWidth="1"/>
    <col min="117" max="117" width="11.5703125" style="3"/>
    <col min="118" max="118" width="11.5703125" style="3" customWidth="1"/>
    <col min="119" max="16384" width="11.5703125" style="3"/>
  </cols>
  <sheetData>
    <row r="1" spans="1:105" ht="30" customHeight="1" thickBot="1" x14ac:dyDescent="0.25">
      <c r="A1" s="441" t="s">
        <v>21</v>
      </c>
      <c r="B1" s="441"/>
      <c r="C1" s="65" t="s">
        <v>34</v>
      </c>
      <c r="D1" s="442" t="s">
        <v>24</v>
      </c>
      <c r="E1" s="442"/>
      <c r="F1" s="17"/>
      <c r="G1" s="442" t="s">
        <v>36</v>
      </c>
      <c r="H1" s="442"/>
      <c r="I1" s="82"/>
      <c r="J1" s="443" t="s">
        <v>25</v>
      </c>
      <c r="K1" s="444"/>
      <c r="L1" s="445"/>
      <c r="M1" s="84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18"/>
      <c r="BD1" s="7"/>
      <c r="BE1" s="7"/>
      <c r="BF1" s="7"/>
      <c r="BG1" s="18"/>
      <c r="BH1" s="25"/>
      <c r="BI1" s="25"/>
      <c r="BJ1" s="25"/>
      <c r="BK1" s="66"/>
      <c r="BL1" s="66"/>
      <c r="BZ1" s="7"/>
      <c r="CA1" s="7"/>
      <c r="CB1" s="7"/>
      <c r="CC1" s="18"/>
      <c r="CD1" s="25"/>
      <c r="CE1" s="25"/>
      <c r="CF1" s="25"/>
      <c r="CG1" s="66"/>
      <c r="CI1" s="66"/>
      <c r="CJ1" s="66"/>
      <c r="CM1" s="3"/>
      <c r="CN1" s="3"/>
      <c r="CO1" s="3"/>
      <c r="CQ1" s="3"/>
      <c r="CR1" s="3"/>
      <c r="CS1" s="3"/>
      <c r="CU1" s="3"/>
      <c r="CV1" s="3"/>
      <c r="CW1" s="3"/>
      <c r="CY1" s="3"/>
      <c r="CZ1" s="3"/>
      <c r="DA1" s="3"/>
    </row>
    <row r="2" spans="1:105" ht="30" customHeight="1" thickBot="1" x14ac:dyDescent="0.25">
      <c r="A2" s="452" t="s">
        <v>74</v>
      </c>
      <c r="B2" s="453"/>
      <c r="C2" s="67" t="e">
        <f>HYPERLINK(#REF!,"■")</f>
        <v>#REF!</v>
      </c>
      <c r="D2" s="447" t="s">
        <v>23</v>
      </c>
      <c r="E2" s="447"/>
      <c r="G2" s="454">
        <v>43599</v>
      </c>
      <c r="H2" s="454"/>
      <c r="I2" s="83"/>
      <c r="J2" s="446"/>
      <c r="K2" s="447"/>
      <c r="L2" s="448"/>
      <c r="M2" s="85"/>
      <c r="BC2" s="43"/>
      <c r="BG2" s="43"/>
      <c r="BH2" s="7"/>
      <c r="BI2" s="7"/>
      <c r="BJ2" s="7"/>
      <c r="BK2" s="66"/>
      <c r="BL2" s="6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CC2" s="43"/>
      <c r="CD2" s="7"/>
      <c r="CE2" s="7"/>
      <c r="CF2" s="7"/>
      <c r="CG2" s="66"/>
      <c r="CI2" s="66"/>
      <c r="CJ2" s="66"/>
      <c r="CK2" s="56"/>
      <c r="CM2" s="3"/>
      <c r="CN2" s="3"/>
      <c r="CO2" s="3"/>
      <c r="CQ2" s="3"/>
      <c r="CR2" s="3"/>
      <c r="CS2" s="3"/>
      <c r="CU2" s="3"/>
      <c r="CV2" s="3"/>
      <c r="CW2" s="3"/>
      <c r="CY2" s="3"/>
      <c r="CZ2" s="3"/>
      <c r="DA2" s="3"/>
    </row>
    <row r="3" spans="1:105" ht="30" customHeight="1" x14ac:dyDescent="0.2">
      <c r="A3" s="455" t="s">
        <v>35</v>
      </c>
      <c r="B3" s="455"/>
      <c r="C3" s="455"/>
      <c r="D3" s="455"/>
      <c r="E3" s="455"/>
      <c r="F3" s="455"/>
      <c r="G3" s="455"/>
      <c r="H3" s="455"/>
      <c r="I3" s="83"/>
      <c r="J3" s="446"/>
      <c r="K3" s="447"/>
      <c r="L3" s="448"/>
      <c r="M3" s="80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BH3" s="25"/>
      <c r="BI3" s="25"/>
      <c r="BJ3" s="25"/>
      <c r="BK3" s="66"/>
      <c r="BL3" s="66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CD3" s="25"/>
      <c r="CE3" s="25"/>
      <c r="CF3" s="25"/>
      <c r="CG3" s="66"/>
      <c r="CI3" s="66"/>
      <c r="CJ3" s="66"/>
      <c r="CK3" s="3"/>
      <c r="CM3" s="3"/>
      <c r="CN3" s="3"/>
      <c r="CO3" s="3"/>
      <c r="CQ3" s="3"/>
      <c r="CR3" s="3"/>
      <c r="CS3" s="3"/>
      <c r="CU3" s="3"/>
      <c r="CV3" s="3"/>
      <c r="CW3" s="3"/>
      <c r="CY3" s="3"/>
      <c r="CZ3" s="3"/>
      <c r="DA3" s="3"/>
    </row>
    <row r="4" spans="1:105" ht="30" customHeight="1" x14ac:dyDescent="0.2">
      <c r="A4" s="463" t="s">
        <v>73</v>
      </c>
      <c r="B4" s="464"/>
      <c r="C4" s="464"/>
      <c r="D4" s="464"/>
      <c r="E4" s="464"/>
      <c r="F4" s="464"/>
      <c r="G4" s="464"/>
      <c r="H4" s="465"/>
      <c r="I4" s="83"/>
      <c r="J4" s="446"/>
      <c r="K4" s="447"/>
      <c r="L4" s="448"/>
      <c r="M4" s="80"/>
      <c r="BH4" s="1"/>
      <c r="BI4" s="1"/>
      <c r="BJ4" s="1"/>
      <c r="BK4" s="66"/>
      <c r="BL4" s="6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CD4" s="1"/>
      <c r="CE4" s="1"/>
      <c r="CF4" s="1"/>
      <c r="CG4" s="66"/>
      <c r="CI4" s="66"/>
      <c r="CJ4" s="66"/>
      <c r="CK4" s="56"/>
      <c r="CM4" s="3"/>
      <c r="CN4" s="3"/>
      <c r="CO4" s="3"/>
      <c r="CQ4" s="3"/>
      <c r="CR4" s="3"/>
      <c r="CS4" s="3"/>
      <c r="CU4" s="3"/>
      <c r="CV4" s="3"/>
      <c r="CW4" s="3"/>
      <c r="CY4" s="3"/>
      <c r="CZ4" s="3"/>
      <c r="DA4" s="3"/>
    </row>
    <row r="5" spans="1:105" ht="64.5" customHeight="1" x14ac:dyDescent="0.2">
      <c r="A5" s="466"/>
      <c r="B5" s="467"/>
      <c r="C5" s="467"/>
      <c r="D5" s="467"/>
      <c r="E5" s="467"/>
      <c r="F5" s="467"/>
      <c r="G5" s="467"/>
      <c r="H5" s="468"/>
      <c r="I5" s="83"/>
      <c r="J5" s="449"/>
      <c r="K5" s="450"/>
      <c r="L5" s="451"/>
      <c r="M5" s="80"/>
      <c r="BH5" s="1"/>
      <c r="BI5" s="1"/>
      <c r="BJ5" s="1"/>
      <c r="BK5" s="66"/>
      <c r="BL5" s="6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CD5" s="1"/>
      <c r="CE5" s="1"/>
      <c r="CF5" s="1"/>
      <c r="CG5" s="66"/>
      <c r="CI5" s="66"/>
      <c r="CJ5" s="66"/>
      <c r="CK5" s="56"/>
      <c r="CM5" s="3"/>
      <c r="CN5" s="3"/>
      <c r="CO5" s="3"/>
      <c r="CQ5" s="3"/>
      <c r="CR5" s="3"/>
      <c r="CS5" s="3"/>
      <c r="CU5" s="3"/>
      <c r="CV5" s="3"/>
      <c r="CW5" s="3"/>
      <c r="CY5" s="3"/>
      <c r="CZ5" s="3"/>
      <c r="DA5" s="3"/>
    </row>
    <row r="6" spans="1:105" ht="10.15" customHeight="1" thickBot="1" x14ac:dyDescent="0.25">
      <c r="A6" s="47"/>
      <c r="B6" s="47"/>
      <c r="D6" s="3"/>
      <c r="E6" s="3"/>
      <c r="G6" s="3"/>
      <c r="H6" s="3"/>
      <c r="K6" s="13"/>
      <c r="L6" s="48"/>
      <c r="M6" s="80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D6" s="1"/>
      <c r="BE6" s="1"/>
      <c r="BF6" s="1"/>
      <c r="BG6" s="1"/>
      <c r="BH6" s="1"/>
      <c r="BI6" s="1"/>
      <c r="BJ6" s="1"/>
      <c r="BK6" s="55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Z6" s="1"/>
      <c r="CA6" s="1"/>
      <c r="CB6" s="1"/>
      <c r="CD6" s="1"/>
      <c r="CE6" s="1"/>
      <c r="CF6" s="1"/>
      <c r="CG6" s="55"/>
      <c r="CI6" s="55"/>
      <c r="CJ6" s="3"/>
      <c r="CK6" s="56"/>
      <c r="CM6" s="3"/>
      <c r="CN6" s="3"/>
      <c r="CO6" s="3"/>
      <c r="CQ6" s="3"/>
      <c r="CR6" s="3"/>
      <c r="CS6" s="3"/>
      <c r="CU6" s="3"/>
      <c r="CV6" s="3"/>
      <c r="CW6" s="3"/>
      <c r="CY6" s="3"/>
      <c r="CZ6" s="3"/>
      <c r="DA6" s="3"/>
    </row>
    <row r="7" spans="1:105" s="2" customFormat="1" ht="13.5" customHeight="1" thickBot="1" x14ac:dyDescent="0.25">
      <c r="A7" s="456" t="s">
        <v>1</v>
      </c>
      <c r="B7" s="459" t="s">
        <v>0</v>
      </c>
      <c r="C7" s="459" t="s">
        <v>3</v>
      </c>
      <c r="D7" s="456" t="s">
        <v>22</v>
      </c>
      <c r="E7" s="462"/>
      <c r="F7" s="469" t="s">
        <v>20</v>
      </c>
      <c r="G7" s="470"/>
      <c r="H7" s="471"/>
      <c r="I7" s="435" t="s">
        <v>5</v>
      </c>
      <c r="J7" s="436"/>
      <c r="K7" s="456" t="s">
        <v>6</v>
      </c>
      <c r="L7" s="472"/>
      <c r="M7" s="44"/>
      <c r="N7" s="473" t="s">
        <v>26</v>
      </c>
      <c r="O7" s="474"/>
      <c r="P7" s="474"/>
      <c r="Q7" s="474"/>
      <c r="R7" s="474"/>
      <c r="S7" s="474"/>
      <c r="T7" s="474"/>
      <c r="U7" s="474"/>
      <c r="V7" s="474"/>
      <c r="W7" s="474"/>
      <c r="X7" s="474"/>
      <c r="Y7" s="474"/>
      <c r="Z7" s="475"/>
      <c r="AA7" s="475"/>
      <c r="AB7" s="476"/>
      <c r="AD7" s="477" t="s">
        <v>95</v>
      </c>
      <c r="AE7" s="478"/>
      <c r="AF7" s="478"/>
      <c r="AG7" s="478"/>
      <c r="AH7" s="478"/>
      <c r="AI7" s="478"/>
      <c r="AJ7" s="479"/>
      <c r="AK7" s="479"/>
      <c r="AL7" s="479"/>
      <c r="AM7" s="479"/>
      <c r="AN7" s="479"/>
      <c r="AO7" s="479"/>
      <c r="AP7" s="3"/>
      <c r="AQ7" s="480" t="s">
        <v>107</v>
      </c>
      <c r="AR7" s="481"/>
      <c r="AS7" s="481"/>
      <c r="AT7" s="481"/>
      <c r="AU7" s="481"/>
      <c r="AV7" s="481"/>
      <c r="AW7" s="481"/>
      <c r="AX7" s="481"/>
      <c r="AY7" s="481"/>
      <c r="AZ7" s="481"/>
      <c r="BA7" s="481"/>
      <c r="BB7" s="481"/>
      <c r="BC7" s="44"/>
      <c r="BD7" s="477" t="s">
        <v>38</v>
      </c>
      <c r="BE7" s="478"/>
      <c r="BF7" s="482"/>
      <c r="BG7" s="44"/>
      <c r="BH7" s="477" t="s">
        <v>39</v>
      </c>
      <c r="BI7" s="478"/>
      <c r="BJ7" s="478"/>
      <c r="BK7" s="482"/>
      <c r="BL7" s="44"/>
      <c r="BM7" s="477" t="s">
        <v>42</v>
      </c>
      <c r="BN7" s="478"/>
      <c r="BO7" s="478"/>
      <c r="BP7" s="478"/>
      <c r="BQ7" s="478"/>
      <c r="BR7" s="478"/>
      <c r="BS7" s="478"/>
      <c r="BT7" s="478"/>
      <c r="BU7" s="478"/>
      <c r="BV7" s="478"/>
      <c r="BW7" s="478"/>
      <c r="BX7" s="478"/>
      <c r="BZ7" s="477" t="s">
        <v>109</v>
      </c>
      <c r="CA7" s="478"/>
      <c r="CB7" s="482"/>
      <c r="CD7" s="477" t="s">
        <v>39</v>
      </c>
      <c r="CE7" s="478"/>
      <c r="CF7" s="478"/>
      <c r="CG7" s="482"/>
      <c r="CI7" s="509" t="s">
        <v>27</v>
      </c>
      <c r="CJ7" s="479"/>
      <c r="CK7" s="510"/>
      <c r="CM7" s="477" t="s">
        <v>108</v>
      </c>
      <c r="CN7" s="478"/>
      <c r="CO7" s="482"/>
      <c r="CQ7" s="477" t="s">
        <v>31</v>
      </c>
      <c r="CR7" s="478"/>
      <c r="CS7" s="482"/>
      <c r="CU7" s="477" t="s">
        <v>32</v>
      </c>
      <c r="CV7" s="478"/>
      <c r="CW7" s="482"/>
      <c r="CY7" s="477" t="s">
        <v>33</v>
      </c>
      <c r="CZ7" s="478"/>
      <c r="DA7" s="482"/>
    </row>
    <row r="8" spans="1:105" s="2" customFormat="1" ht="13.9" customHeight="1" thickBot="1" x14ac:dyDescent="0.25">
      <c r="A8" s="457"/>
      <c r="B8" s="460"/>
      <c r="C8" s="460"/>
      <c r="D8" s="439" t="s">
        <v>6</v>
      </c>
      <c r="E8" s="493" t="s">
        <v>7</v>
      </c>
      <c r="F8" s="495" t="s">
        <v>6</v>
      </c>
      <c r="G8" s="497" t="s">
        <v>7</v>
      </c>
      <c r="H8" s="499" t="s">
        <v>8</v>
      </c>
      <c r="I8" s="437"/>
      <c r="J8" s="438"/>
      <c r="K8" s="439" t="s">
        <v>4</v>
      </c>
      <c r="L8" s="502" t="s">
        <v>9</v>
      </c>
      <c r="M8" s="45"/>
      <c r="N8" s="486" t="s">
        <v>37</v>
      </c>
      <c r="O8" s="487"/>
      <c r="P8" s="487"/>
      <c r="Q8" s="486" t="s">
        <v>17</v>
      </c>
      <c r="R8" s="487"/>
      <c r="S8" s="488"/>
      <c r="T8" s="486" t="s">
        <v>18</v>
      </c>
      <c r="U8" s="487"/>
      <c r="V8" s="488"/>
      <c r="W8" s="486" t="s">
        <v>19</v>
      </c>
      <c r="X8" s="487"/>
      <c r="Y8" s="488"/>
      <c r="Z8" s="489" t="s">
        <v>75</v>
      </c>
      <c r="AA8" s="489"/>
      <c r="AB8" s="490" t="s">
        <v>75</v>
      </c>
      <c r="AD8" s="522" t="s">
        <v>16</v>
      </c>
      <c r="AE8" s="523"/>
      <c r="AF8" s="523"/>
      <c r="AG8" s="524"/>
      <c r="AH8" s="524"/>
      <c r="AI8" s="525"/>
      <c r="AJ8" s="522" t="s">
        <v>94</v>
      </c>
      <c r="AK8" s="523"/>
      <c r="AL8" s="523"/>
      <c r="AM8" s="524"/>
      <c r="AN8" s="524"/>
      <c r="AO8" s="525"/>
      <c r="AP8" s="3"/>
      <c r="AQ8" s="491" t="s">
        <v>16</v>
      </c>
      <c r="AR8" s="492"/>
      <c r="AS8" s="492"/>
      <c r="AT8" s="492"/>
      <c r="AU8" s="492"/>
      <c r="AV8" s="492"/>
      <c r="AW8" s="491" t="s">
        <v>94</v>
      </c>
      <c r="AX8" s="492"/>
      <c r="AY8" s="492"/>
      <c r="AZ8" s="492"/>
      <c r="BA8" s="492"/>
      <c r="BB8" s="492"/>
      <c r="BC8" s="45"/>
      <c r="BD8" s="483"/>
      <c r="BE8" s="484"/>
      <c r="BF8" s="485"/>
      <c r="BG8" s="45"/>
      <c r="BH8" s="504" t="s">
        <v>41</v>
      </c>
      <c r="BI8" s="506" t="s">
        <v>40</v>
      </c>
      <c r="BJ8" s="507"/>
      <c r="BK8" s="508"/>
      <c r="BL8" s="45"/>
      <c r="BM8" s="491" t="s">
        <v>16</v>
      </c>
      <c r="BN8" s="492"/>
      <c r="BO8" s="492"/>
      <c r="BP8" s="492"/>
      <c r="BQ8" s="492"/>
      <c r="BR8" s="492"/>
      <c r="BS8" s="491" t="s">
        <v>94</v>
      </c>
      <c r="BT8" s="492"/>
      <c r="BU8" s="492"/>
      <c r="BV8" s="492"/>
      <c r="BW8" s="492"/>
      <c r="BX8" s="492"/>
      <c r="BZ8" s="483"/>
      <c r="CA8" s="484"/>
      <c r="CB8" s="485"/>
      <c r="CD8" s="504" t="s">
        <v>41</v>
      </c>
      <c r="CE8" s="506" t="s">
        <v>40</v>
      </c>
      <c r="CF8" s="507"/>
      <c r="CG8" s="508"/>
      <c r="CI8" s="440" t="s">
        <v>11</v>
      </c>
      <c r="CJ8" s="520" t="s">
        <v>10</v>
      </c>
      <c r="CK8" s="517" t="s">
        <v>2</v>
      </c>
      <c r="CM8" s="491"/>
      <c r="CN8" s="492"/>
      <c r="CO8" s="501"/>
      <c r="CQ8" s="491"/>
      <c r="CR8" s="492"/>
      <c r="CS8" s="501"/>
      <c r="CU8" s="491"/>
      <c r="CV8" s="492"/>
      <c r="CW8" s="501"/>
      <c r="CY8" s="491"/>
      <c r="CZ8" s="492"/>
      <c r="DA8" s="501"/>
    </row>
    <row r="9" spans="1:105" s="2" customFormat="1" ht="23.25" thickBot="1" x14ac:dyDescent="0.25">
      <c r="A9" s="458"/>
      <c r="B9" s="461"/>
      <c r="C9" s="461"/>
      <c r="D9" s="440"/>
      <c r="E9" s="494"/>
      <c r="F9" s="496"/>
      <c r="G9" s="498"/>
      <c r="H9" s="500"/>
      <c r="I9" s="437"/>
      <c r="J9" s="438"/>
      <c r="K9" s="440"/>
      <c r="L9" s="503"/>
      <c r="M9" s="45"/>
      <c r="N9" s="209">
        <v>1.6</v>
      </c>
      <c r="O9" s="210">
        <v>2.4</v>
      </c>
      <c r="P9" s="166">
        <v>3.2</v>
      </c>
      <c r="Q9" s="209">
        <v>1.6</v>
      </c>
      <c r="R9" s="210">
        <v>2.4</v>
      </c>
      <c r="S9" s="167">
        <v>3.2</v>
      </c>
      <c r="T9" s="209">
        <v>1.6</v>
      </c>
      <c r="U9" s="210">
        <v>2.4</v>
      </c>
      <c r="V9" s="167">
        <v>3.2</v>
      </c>
      <c r="W9" s="209">
        <v>1.6</v>
      </c>
      <c r="X9" s="210">
        <v>2.4</v>
      </c>
      <c r="Y9" s="167">
        <v>3.2</v>
      </c>
      <c r="Z9" s="210">
        <v>1.6</v>
      </c>
      <c r="AA9" s="210">
        <v>2.4</v>
      </c>
      <c r="AB9" s="167">
        <v>3.2</v>
      </c>
      <c r="AD9" s="160" t="s">
        <v>98</v>
      </c>
      <c r="AE9" s="161" t="s">
        <v>99</v>
      </c>
      <c r="AF9" s="162" t="s">
        <v>100</v>
      </c>
      <c r="AG9" s="160" t="s">
        <v>101</v>
      </c>
      <c r="AH9" s="161" t="s">
        <v>102</v>
      </c>
      <c r="AI9" s="162" t="s">
        <v>103</v>
      </c>
      <c r="AJ9" s="160" t="s">
        <v>98</v>
      </c>
      <c r="AK9" s="161" t="s">
        <v>99</v>
      </c>
      <c r="AL9" s="162" t="s">
        <v>100</v>
      </c>
      <c r="AM9" s="160" t="s">
        <v>104</v>
      </c>
      <c r="AN9" s="161" t="s">
        <v>105</v>
      </c>
      <c r="AO9" s="162" t="s">
        <v>106</v>
      </c>
      <c r="AP9" s="3"/>
      <c r="AQ9" s="160" t="s">
        <v>98</v>
      </c>
      <c r="AR9" s="161" t="s">
        <v>99</v>
      </c>
      <c r="AS9" s="162" t="s">
        <v>100</v>
      </c>
      <c r="AT9" s="160" t="s">
        <v>101</v>
      </c>
      <c r="AU9" s="161" t="s">
        <v>102</v>
      </c>
      <c r="AV9" s="162" t="s">
        <v>103</v>
      </c>
      <c r="AW9" s="160" t="s">
        <v>98</v>
      </c>
      <c r="AX9" s="161" t="s">
        <v>99</v>
      </c>
      <c r="AY9" s="162" t="s">
        <v>100</v>
      </c>
      <c r="AZ9" s="160" t="s">
        <v>104</v>
      </c>
      <c r="BA9" s="161" t="s">
        <v>105</v>
      </c>
      <c r="BB9" s="162" t="s">
        <v>106</v>
      </c>
      <c r="BC9" s="45"/>
      <c r="BD9" s="160">
        <v>1.6</v>
      </c>
      <c r="BE9" s="161">
        <v>2.4</v>
      </c>
      <c r="BF9" s="162">
        <v>3.2</v>
      </c>
      <c r="BG9" s="45"/>
      <c r="BH9" s="505"/>
      <c r="BI9" s="160" t="s">
        <v>98</v>
      </c>
      <c r="BJ9" s="161" t="s">
        <v>99</v>
      </c>
      <c r="BK9" s="162" t="s">
        <v>100</v>
      </c>
      <c r="BL9" s="45"/>
      <c r="BM9" s="160" t="s">
        <v>98</v>
      </c>
      <c r="BN9" s="161" t="s">
        <v>99</v>
      </c>
      <c r="BO9" s="162" t="s">
        <v>100</v>
      </c>
      <c r="BP9" s="160" t="s">
        <v>101</v>
      </c>
      <c r="BQ9" s="161" t="s">
        <v>102</v>
      </c>
      <c r="BR9" s="162" t="s">
        <v>103</v>
      </c>
      <c r="BS9" s="160" t="s">
        <v>98</v>
      </c>
      <c r="BT9" s="161" t="s">
        <v>99</v>
      </c>
      <c r="BU9" s="162" t="s">
        <v>100</v>
      </c>
      <c r="BV9" s="160" t="s">
        <v>104</v>
      </c>
      <c r="BW9" s="161" t="s">
        <v>105</v>
      </c>
      <c r="BX9" s="162" t="s">
        <v>106</v>
      </c>
      <c r="BZ9" s="160">
        <v>1.6</v>
      </c>
      <c r="CA9" s="161">
        <v>2.4</v>
      </c>
      <c r="CB9" s="162">
        <v>3.2</v>
      </c>
      <c r="CD9" s="505"/>
      <c r="CE9" s="160" t="s">
        <v>98</v>
      </c>
      <c r="CF9" s="161" t="s">
        <v>99</v>
      </c>
      <c r="CG9" s="162" t="s">
        <v>100</v>
      </c>
      <c r="CI9" s="519"/>
      <c r="CJ9" s="521"/>
      <c r="CK9" s="518"/>
      <c r="CM9" s="152">
        <v>1.6</v>
      </c>
      <c r="CN9" s="153">
        <v>2.4</v>
      </c>
      <c r="CO9" s="154">
        <v>3.2</v>
      </c>
      <c r="CQ9" s="152">
        <v>1.6</v>
      </c>
      <c r="CR9" s="153">
        <v>2.4</v>
      </c>
      <c r="CS9" s="154">
        <v>3.2</v>
      </c>
      <c r="CU9" s="152">
        <v>1.6</v>
      </c>
      <c r="CV9" s="153">
        <v>2.4</v>
      </c>
      <c r="CW9" s="154">
        <v>3.2</v>
      </c>
      <c r="CY9" s="152">
        <v>1.6</v>
      </c>
      <c r="CZ9" s="153">
        <v>2.4</v>
      </c>
      <c r="DA9" s="154">
        <v>3.2</v>
      </c>
    </row>
    <row r="10" spans="1:105" ht="30" customHeight="1" thickBot="1" x14ac:dyDescent="0.25">
      <c r="A10" s="211" t="s">
        <v>68</v>
      </c>
      <c r="B10" s="212" t="s">
        <v>44</v>
      </c>
      <c r="C10" s="143">
        <v>1</v>
      </c>
      <c r="D10" s="19" t="s">
        <v>56</v>
      </c>
      <c r="E10" s="213" t="s">
        <v>14</v>
      </c>
      <c r="F10" s="34" t="e">
        <f ca="1">IF(LEFT(D10,2)="PA",VLOOKUP(D10,INDIRECT(#REF!),5,FALSE),"/")</f>
        <v>#REF!</v>
      </c>
      <c r="G10" s="40" t="str">
        <f ca="1">IF(LEFT(E10,2)="PF",VLOOKUP(E10,INDIRECT(#REF!),5,FALSE),"/")</f>
        <v>/</v>
      </c>
      <c r="H10" s="33" t="str">
        <f ca="1">IF(LEFT(E10,2)="PF",VLOOKUP(E10,INDIRECT(#REF!),6,FALSE),"/")</f>
        <v>/</v>
      </c>
      <c r="I10" s="513"/>
      <c r="J10" s="514"/>
      <c r="K10" s="49" t="e">
        <f ca="1">IF(LEFT(D10,2)="PA",VLOOKUP(D10,INDIRECT(#REF!),3,FALSE),"/")</f>
        <v>#REF!</v>
      </c>
      <c r="L10" s="52" t="e">
        <f ca="1">IF(LEFT(D10,2)="PA",VLOOKUP(D10,INDIRECT(#REF!),4,FALSE),"/")</f>
        <v>#REF!</v>
      </c>
      <c r="M10" s="18"/>
      <c r="N10" s="71"/>
      <c r="O10" s="112"/>
      <c r="P10" s="119"/>
      <c r="Q10" s="71"/>
      <c r="R10" s="72"/>
      <c r="S10" s="73"/>
      <c r="T10" s="71"/>
      <c r="U10" s="72"/>
      <c r="V10" s="73"/>
      <c r="W10" s="71">
        <v>3</v>
      </c>
      <c r="X10" s="113">
        <v>3</v>
      </c>
      <c r="Y10" s="73">
        <v>3</v>
      </c>
      <c r="Z10" s="119">
        <v>3</v>
      </c>
      <c r="AA10" s="113">
        <v>3</v>
      </c>
      <c r="AB10" s="73">
        <v>3</v>
      </c>
      <c r="AD10" s="145"/>
      <c r="AE10" s="155"/>
      <c r="AF10" s="156"/>
      <c r="AG10" s="145">
        <f>-5+30</f>
        <v>25</v>
      </c>
      <c r="AH10" s="155">
        <f>-8+30</f>
        <v>22</v>
      </c>
      <c r="AI10" s="156">
        <f>-14+30</f>
        <v>16</v>
      </c>
      <c r="AJ10" s="145"/>
      <c r="AK10" s="155"/>
      <c r="AL10" s="156"/>
      <c r="AM10" s="145"/>
      <c r="AN10" s="155"/>
      <c r="AO10" s="156"/>
      <c r="AQ10" s="194">
        <f>IF( AD10&lt;&gt;"", ((1000+AD10+5)/1000)*($K10/1000)*(1+#REF!)*#REF!, 0 )</f>
        <v>0</v>
      </c>
      <c r="AR10" s="195">
        <f>IF( AE10&lt;&gt;"", ((1000+AE10+5)/1000)*($K10/1000)*(1+#REF!)*#REF!, 0 )</f>
        <v>0</v>
      </c>
      <c r="AS10" s="196">
        <f>IF( AF10&lt;&gt;"", ((1000+AF10+5)/1000)*($K10/1000)*(1+#REF!)*#REF!, 0 )</f>
        <v>0</v>
      </c>
      <c r="AT10" s="169" t="e">
        <f ca="1">IF( AG10&lt;&gt;"", ((1000+AG10+5)/1000)*($K10/1000)*(1+#REF!)*#REF!, 0 )</f>
        <v>#REF!</v>
      </c>
      <c r="AU10" s="170" t="e">
        <f ca="1">IF( AH10&lt;&gt;"", ((1000+AH10+5)/1000)*($K10/1000)*(1+#REF!)*#REF!, 0 )</f>
        <v>#REF!</v>
      </c>
      <c r="AV10" s="171" t="e">
        <f ca="1">IF( AI10&lt;&gt;"", ((1000+AI10+5)/1000)*($K10/1000)*(1+#REF!)*#REF!, 0 )</f>
        <v>#REF!</v>
      </c>
      <c r="AW10" s="194">
        <f>IF( AJ10&lt;&gt;"", ((1000+AJ10+5)/1000)*($K10/1000)*(1+#REF!)*#REF!, 0 )</f>
        <v>0</v>
      </c>
      <c r="AX10" s="195">
        <f>IF( AK10&lt;&gt;"", ((1000+AK10+5)/1000)*($K10/1000)*(1+#REF!)*#REF!, 0 )</f>
        <v>0</v>
      </c>
      <c r="AY10" s="196">
        <f>IF( AL10&lt;&gt;"", ((1000+AL10+5)/1000)*($K10/1000)*(1+#REF!)*#REF!, 0 )</f>
        <v>0</v>
      </c>
      <c r="AZ10" s="169">
        <f>IF( AM10&lt;&gt;"", ((1000+AM10+5)/1000)*($K10/1000)*(1+#REF!)*#REF!, 0 )</f>
        <v>0</v>
      </c>
      <c r="BA10" s="170">
        <f>IF( AN10&lt;&gt;"", ((1000+AN10+5)/1000)*($K10/1000)*(1+#REF!)*#REF!, 0 )</f>
        <v>0</v>
      </c>
      <c r="BB10" s="171">
        <f>IF( AO10&lt;&gt;"", ((1000+AO10+5)/1000)*($K10/1000)*(1+#REF!)*#REF!, 0 )</f>
        <v>0</v>
      </c>
      <c r="BC10" s="168"/>
      <c r="BD10" s="248"/>
      <c r="BE10" s="236"/>
      <c r="BF10" s="237"/>
      <c r="BG10" s="168"/>
      <c r="BH10" s="169"/>
      <c r="BI10" s="195"/>
      <c r="BJ10" s="195"/>
      <c r="BK10" s="196"/>
      <c r="BL10" s="168"/>
      <c r="BM10" s="214">
        <f>IF(AD10&lt;&gt;"",(MAX(0.12,$L10)*(AD10+5)/1000*(1+#REF!)*#REF!),0)</f>
        <v>0</v>
      </c>
      <c r="BN10" s="215">
        <f>IF(AE10&lt;&gt;"",(MAX(0.12,$L10)*(AE10+5)/1000*(1+#REF!)*#REF!),0)</f>
        <v>0</v>
      </c>
      <c r="BO10" s="216">
        <f>IF(AF10&lt;&gt;"",(MAX(0.12,$L10)*(AF10+5)/1000*(1+#REF!)*#REF!),0)</f>
        <v>0</v>
      </c>
      <c r="BP10" s="181" t="e">
        <f ca="1">IF(AG10&lt;&gt;"",(MAX(0.12,$L10)*(AG10+5)/1000*(1+#REF!)*#REF!),0)</f>
        <v>#REF!</v>
      </c>
      <c r="BQ10" s="182" t="e">
        <f ca="1">IF(AH10&lt;&gt;"",(MAX(0.12,$L10)*(AH10+5)/1000*(1+#REF!)*#REF!),0)</f>
        <v>#REF!</v>
      </c>
      <c r="BR10" s="183" t="e">
        <f ca="1">IF(AI10&lt;&gt;"",(MAX(0.12,$L10)*(AI10+5)/1000*(1+#REF!)*#REF!),0)</f>
        <v>#REF!</v>
      </c>
      <c r="BS10" s="181">
        <f>IF(AJ10&lt;&gt;"",(MAX(0.12,$L10)*(AJ10+5)/1000*(1+#REF!)*#REF!),0)</f>
        <v>0</v>
      </c>
      <c r="BT10" s="182">
        <f>IF(AK10&lt;&gt;"",(MAX(0.12,$L10)*(AK10+5)/1000*(1+#REF!)*#REF!),0)</f>
        <v>0</v>
      </c>
      <c r="BU10" s="183">
        <f>IF(AL10&lt;&gt;"",(MAX(0.12,$L10)*(AL10+5)/1000*(1+#REF!)*#REF!),0)</f>
        <v>0</v>
      </c>
      <c r="BV10" s="181">
        <f>IF(AM10&lt;&gt;"",(MAX(0.12,$L10)*(AM10+5)/1000*(1+#REF!)*#REF!),0)</f>
        <v>0</v>
      </c>
      <c r="BW10" s="182">
        <f>IF(AN10&lt;&gt;"",(MAX(0.12,$L10)*(AN10+5)/1000*(1+#REF!)*#REF!),0)</f>
        <v>0</v>
      </c>
      <c r="BX10" s="183">
        <f>IF(AO10&lt;&gt;"",(MAX(0.12,$L10)*(AO10+5)/1000*(1+#REF!)*#REF!),0)</f>
        <v>0</v>
      </c>
      <c r="BZ10" s="257"/>
      <c r="CA10" s="242"/>
      <c r="CB10" s="243"/>
      <c r="CD10" s="181"/>
      <c r="CE10" s="215"/>
      <c r="CF10" s="215"/>
      <c r="CG10" s="216"/>
      <c r="CI10" s="5" t="s">
        <v>15</v>
      </c>
      <c r="CJ10" s="32">
        <v>4.2</v>
      </c>
      <c r="CK10" s="6">
        <f>IF( CJ10&gt;0, CJ10, IF( LEFT(D10,2)="PA", C10*MAX(0.12,L10)*AD10/1000*#REF!, 0 ) )</f>
        <v>4.2</v>
      </c>
      <c r="CM10" s="203">
        <f>IF(N10&lt;&gt;"",((BM10+BP10+BS10+BV10+BZ10+CE10)+(AQ10+AT10+AW10+AZ10+BD10+BI10)*N10),0)</f>
        <v>0</v>
      </c>
      <c r="CN10" s="204">
        <f t="shared" ref="CN10:CO23" si="0">IF(O10&lt;&gt;"",((BN10+BQ10+BT10+BW10+CA10+CF10)+(AR10+AU10+AX10+BA10+BE10+BJ10)*O10),0)</f>
        <v>0</v>
      </c>
      <c r="CO10" s="205">
        <f t="shared" si="0"/>
        <v>0</v>
      </c>
      <c r="CQ10" s="260">
        <f t="shared" ref="CQ10:CQ23" si="1">IF(Q10&lt;&gt;"",((BM10+BP10+BS10+BV10+BZ10+CE10)+(AT10+AW10+AZ10+BD10+BI10)*Q10),0)</f>
        <v>0</v>
      </c>
      <c r="CR10" s="261">
        <f t="shared" ref="CR10:CR23" si="2">IF(R10&lt;&gt;"",((BN10+BQ10+BT10+BW10+CA10+CF10)+(AU10+AX10+BA10+BE10+BJ10)*R10),0)</f>
        <v>0</v>
      </c>
      <c r="CS10" s="262">
        <f t="shared" ref="CS10:CS23" si="3">IF(S10&lt;&gt;"",((BO10+BR10+BU10+BX10+CB10+CG10)+(AV10+AY10+BB10+BF10+BK10)*S10),0)</f>
        <v>0</v>
      </c>
      <c r="CU10" s="206">
        <f t="shared" ref="CU10:CU23" si="4">IF(T10&lt;&gt;"",((BM10+BP10+BS10+BV10+BZ10+CE10)+(AQ10+AT10+AW10+AZ10+BD10+BI10)*T10),0)</f>
        <v>0</v>
      </c>
      <c r="CV10" s="207">
        <f t="shared" ref="CV10:CV23" si="5">IF(U10&lt;&gt;"",((BN10+BQ10+BT10+BW10+CA10+CF10)+(AR10+AU10+AX10+BA10+BE10+BJ10)*U10),0)</f>
        <v>0</v>
      </c>
      <c r="CW10" s="208">
        <f t="shared" ref="CW10:CW23" si="6">IF(V10&lt;&gt;"",((BO10+BR10+BU10+BX10+CB10+CG10)+(AS10+AV10+AY10+BB10+BF10+BK10)*V10),0)</f>
        <v>0</v>
      </c>
      <c r="CY10" s="206" t="e">
        <f t="shared" ref="CY10:CY23" ca="1" si="7">IF(W10&lt;&gt;"",((BM10+BP10+BS10+BV10+BZ10+CE10)+(AQ10+AT10+AW10+AZ10+BD10+BI10)*W10),0)</f>
        <v>#REF!</v>
      </c>
      <c r="CZ10" s="207" t="e">
        <f t="shared" ref="CZ10:CZ23" ca="1" si="8">IF(X10&lt;&gt;"",((BN10+BQ10+BT10+BW10+CA10+CF10)+(AR10+AU10+AX10+BA10+BE10+BJ10)*X10),0)</f>
        <v>#REF!</v>
      </c>
      <c r="DA10" s="208" t="e">
        <f t="shared" ref="DA10:DA23" ca="1" si="9">IF(Y10&lt;&gt;"",((BO10+BR10+BU10+BX10+CB10+CG10)+(AS10+AV10+AY10+BB10+BF10+BK10)*Y10),0)</f>
        <v>#REF!</v>
      </c>
    </row>
    <row r="11" spans="1:105" ht="30" customHeight="1" x14ac:dyDescent="0.2">
      <c r="A11" s="141" t="s">
        <v>68</v>
      </c>
      <c r="B11" s="142" t="s">
        <v>65</v>
      </c>
      <c r="C11" s="144">
        <v>1</v>
      </c>
      <c r="D11" s="89" t="s">
        <v>66</v>
      </c>
      <c r="E11" s="11" t="s">
        <v>14</v>
      </c>
      <c r="F11" s="35" t="e">
        <f ca="1">IF(LEFT(D11,2)="PA",VLOOKUP(D11,INDIRECT(#REF!),5,FALSE),"/")</f>
        <v>#REF!</v>
      </c>
      <c r="G11" s="41" t="str">
        <f ca="1">IF(LEFT(E11,2)="PF",VLOOKUP(E11,INDIRECT(#REF!),5,FALSE),"/")</f>
        <v>/</v>
      </c>
      <c r="H11" s="36" t="str">
        <f ca="1">IF(LEFT(E11,2)="PF",VLOOKUP(E11,INDIRECT(#REF!),6,FALSE),"/")</f>
        <v>/</v>
      </c>
      <c r="I11" s="515"/>
      <c r="J11" s="516"/>
      <c r="K11" s="50" t="e">
        <f ca="1">IF(LEFT(D11,2)="PA",VLOOKUP(D11,INDIRECT(#REF!),3,FALSE),"/")</f>
        <v>#REF!</v>
      </c>
      <c r="L11" s="53" t="e">
        <f ca="1">IF(LEFT(D11,2)="PA",VLOOKUP(D11,INDIRECT(#REF!),4,FALSE),"/")</f>
        <v>#REF!</v>
      </c>
      <c r="M11" s="18"/>
      <c r="N11" s="90"/>
      <c r="O11" s="110"/>
      <c r="P11" s="117"/>
      <c r="Q11" s="90"/>
      <c r="R11" s="91"/>
      <c r="S11" s="123"/>
      <c r="T11" s="125"/>
      <c r="U11" s="103"/>
      <c r="V11" s="104"/>
      <c r="W11" s="125">
        <v>1</v>
      </c>
      <c r="X11" s="114">
        <v>1</v>
      </c>
      <c r="Y11" s="104">
        <v>1</v>
      </c>
      <c r="Z11" s="120">
        <v>1</v>
      </c>
      <c r="AA11" s="114">
        <v>1</v>
      </c>
      <c r="AB11" s="104">
        <v>1</v>
      </c>
      <c r="AD11" s="149"/>
      <c r="AE11" s="150"/>
      <c r="AF11" s="151"/>
      <c r="AG11" s="149">
        <f>-5+30</f>
        <v>25</v>
      </c>
      <c r="AH11" s="150">
        <f>-8+30</f>
        <v>22</v>
      </c>
      <c r="AI11" s="151">
        <f>-14+30</f>
        <v>16</v>
      </c>
      <c r="AJ11" s="146"/>
      <c r="AK11" s="147"/>
      <c r="AL11" s="148"/>
      <c r="AM11" s="146"/>
      <c r="AN11" s="147"/>
      <c r="AO11" s="148"/>
      <c r="AQ11" s="187">
        <f>IF( AD11&lt;&gt;"", ((1000+AD11+5)/1000)*($K11/1000)*(1+#REF!)*#REF!, 0 )</f>
        <v>0</v>
      </c>
      <c r="AR11" s="188">
        <f>IF( AE11&lt;&gt;"", ((1000+AE11+5)/1000)*($K11/1000)*(1+#REF!)*#REF!, 0 )</f>
        <v>0</v>
      </c>
      <c r="AS11" s="189">
        <f>IF( AF11&lt;&gt;"", ((1000+AF11+5)/1000)*($K11/1000)*(1+#REF!)*#REF!, 0 )</f>
        <v>0</v>
      </c>
      <c r="AT11" s="172" t="e">
        <f ca="1">IF( AG11&lt;&gt;"", ((1000+AG11+5)/1000)*($K11/1000)*(1+#REF!)*#REF!, 0 )</f>
        <v>#REF!</v>
      </c>
      <c r="AU11" s="173" t="e">
        <f ca="1">IF( AH11&lt;&gt;"", ((1000+AH11+5)/1000)*($K11/1000)*(1+#REF!)*#REF!, 0 )</f>
        <v>#REF!</v>
      </c>
      <c r="AV11" s="174" t="e">
        <f ca="1">IF( AI11&lt;&gt;"", ((1000+AI11+5)/1000)*($K11/1000)*(1+#REF!)*#REF!, 0 )</f>
        <v>#REF!</v>
      </c>
      <c r="AW11" s="187">
        <f>IF( AJ11&lt;&gt;"", ((1000+AJ11+5)/1000)*($K11/1000)*(1+#REF!)*#REF!, 0 )</f>
        <v>0</v>
      </c>
      <c r="AX11" s="188">
        <f>IF( AK11&lt;&gt;"", ((1000+AK11+5)/1000)*($K11/1000)*(1+#REF!)*#REF!, 0 )</f>
        <v>0</v>
      </c>
      <c r="AY11" s="189">
        <f>IF( AL11&lt;&gt;"", ((1000+AL11+5)/1000)*($K11/1000)*(1+#REF!)*#REF!, 0 )</f>
        <v>0</v>
      </c>
      <c r="AZ11" s="172">
        <f>IF( AM11&lt;&gt;"", ((1000+AM11+5)/1000)*($K11/1000)*(1+#REF!)*#REF!, 0 )</f>
        <v>0</v>
      </c>
      <c r="BA11" s="173">
        <f>IF( AN11&lt;&gt;"", ((1000+AN11+5)/1000)*($K11/1000)*(1+#REF!)*#REF!, 0 )</f>
        <v>0</v>
      </c>
      <c r="BB11" s="174">
        <f>IF( AO11&lt;&gt;"", ((1000+AO11+5)/1000)*($K11/1000)*(1+#REF!)*#REF!, 0 )</f>
        <v>0</v>
      </c>
      <c r="BC11" s="168"/>
      <c r="BD11" s="249"/>
      <c r="BE11" s="238"/>
      <c r="BF11" s="239"/>
      <c r="BG11" s="168"/>
      <c r="BH11" s="172"/>
      <c r="BI11" s="188"/>
      <c r="BJ11" s="188"/>
      <c r="BK11" s="189"/>
      <c r="BL11" s="168"/>
      <c r="BM11" s="197">
        <f>IF(AD11&lt;&gt;"",(MAX(0.12,$L11)*(AD11+5)/1000*(1+#REF!)*#REF!),0)</f>
        <v>0</v>
      </c>
      <c r="BN11" s="198">
        <f>IF(AE11&lt;&gt;"",(MAX(0.12,$L11)*(AE11+5)/1000*(1+#REF!)*#REF!),0)</f>
        <v>0</v>
      </c>
      <c r="BO11" s="199">
        <f>IF(AF11&lt;&gt;"",(MAX(0.12,$L11)*(AF11+5)/1000*(1+#REF!)*#REF!),0)</f>
        <v>0</v>
      </c>
      <c r="BP11" s="178" t="e">
        <f ca="1">IF(AG11&lt;&gt;"",(MAX(0.12,$L11)*(AG11+5)/1000*(1+#REF!)*#REF!),0)</f>
        <v>#REF!</v>
      </c>
      <c r="BQ11" s="179" t="e">
        <f ca="1">IF(AH11&lt;&gt;"",(MAX(0.12,$L11)*(AH11+5)/1000*(1+#REF!)*#REF!),0)</f>
        <v>#REF!</v>
      </c>
      <c r="BR11" s="180" t="e">
        <f ca="1">IF(AI11&lt;&gt;"",(MAX(0.12,$L11)*(AI11+5)/1000*(1+#REF!)*#REF!),0)</f>
        <v>#REF!</v>
      </c>
      <c r="BS11" s="178">
        <f>IF(AJ11&lt;&gt;"",(MAX(0.12,$L11)*(AJ11+5)/1000*(1+#REF!)*#REF!),0)</f>
        <v>0</v>
      </c>
      <c r="BT11" s="179">
        <f>IF(AK11&lt;&gt;"",(MAX(0.12,$L11)*(AK11+5)/1000*(1+#REF!)*#REF!),0)</f>
        <v>0</v>
      </c>
      <c r="BU11" s="180">
        <f>IF(AL11&lt;&gt;"",(MAX(0.12,$L11)*(AL11+5)/1000*(1+#REF!)*#REF!),0)</f>
        <v>0</v>
      </c>
      <c r="BV11" s="178">
        <f>IF(AM11&lt;&gt;"",(MAX(0.12,$L11)*(AM11+5)/1000*(1+#REF!)*#REF!),0)</f>
        <v>0</v>
      </c>
      <c r="BW11" s="179">
        <f>IF(AN11&lt;&gt;"",(MAX(0.12,$L11)*(AN11+5)/1000*(1+#REF!)*#REF!),0)</f>
        <v>0</v>
      </c>
      <c r="BX11" s="180">
        <f>IF(AO11&lt;&gt;"",(MAX(0.12,$L11)*(AO11+5)/1000*(1+#REF!)*#REF!),0)</f>
        <v>0</v>
      </c>
      <c r="BZ11" s="258"/>
      <c r="CA11" s="244"/>
      <c r="CB11" s="245"/>
      <c r="CD11" s="178"/>
      <c r="CE11" s="198"/>
      <c r="CF11" s="198"/>
      <c r="CG11" s="199"/>
      <c r="CI11" s="92"/>
      <c r="CJ11" s="94"/>
      <c r="CK11" s="93"/>
      <c r="CM11" s="203">
        <f t="shared" ref="CM11:CM23" si="10">IF(N11&lt;&gt;"",((BM11+BP11+BS11+BV11+BZ11+CE11)+(AQ11+AT11+AW11+AZ11+BD11+BI11)*N11),0)</f>
        <v>0</v>
      </c>
      <c r="CN11" s="204">
        <f t="shared" si="0"/>
        <v>0</v>
      </c>
      <c r="CO11" s="205">
        <f t="shared" si="0"/>
        <v>0</v>
      </c>
      <c r="CQ11" s="203">
        <f t="shared" si="1"/>
        <v>0</v>
      </c>
      <c r="CR11" s="204">
        <f t="shared" si="2"/>
        <v>0</v>
      </c>
      <c r="CS11" s="205">
        <f t="shared" si="3"/>
        <v>0</v>
      </c>
      <c r="CU11" s="260">
        <f t="shared" si="4"/>
        <v>0</v>
      </c>
      <c r="CV11" s="261">
        <f t="shared" si="5"/>
        <v>0</v>
      </c>
      <c r="CW11" s="262">
        <f t="shared" si="6"/>
        <v>0</v>
      </c>
      <c r="CY11" s="260" t="e">
        <f t="shared" ca="1" si="7"/>
        <v>#REF!</v>
      </c>
      <c r="CZ11" s="261" t="e">
        <f t="shared" ca="1" si="8"/>
        <v>#REF!</v>
      </c>
      <c r="DA11" s="262" t="e">
        <f t="shared" ca="1" si="9"/>
        <v>#REF!</v>
      </c>
    </row>
    <row r="12" spans="1:105" ht="30" customHeight="1" x14ac:dyDescent="0.2">
      <c r="A12" s="26" t="s">
        <v>69</v>
      </c>
      <c r="B12" s="101" t="s">
        <v>70</v>
      </c>
      <c r="C12" s="8">
        <v>1</v>
      </c>
      <c r="D12" s="89" t="s">
        <v>55</v>
      </c>
      <c r="E12" s="11" t="s">
        <v>14</v>
      </c>
      <c r="F12" s="35" t="e">
        <f ca="1">IF(LEFT(D12,2)="PA",VLOOKUP(D12,INDIRECT(#REF!),5,FALSE),"/")</f>
        <v>#REF!</v>
      </c>
      <c r="G12" s="41" t="str">
        <f ca="1">IF(LEFT(E12,2)="PF",VLOOKUP(E12,INDIRECT(#REF!),5,FALSE),"/")</f>
        <v>/</v>
      </c>
      <c r="H12" s="36" t="str">
        <f ca="1">IF(LEFT(E12,2)="PF",VLOOKUP(E12,INDIRECT(#REF!),6,FALSE),"/")</f>
        <v>/</v>
      </c>
      <c r="I12" s="87"/>
      <c r="J12" s="88"/>
      <c r="K12" s="50" t="e">
        <f ca="1">IF(LEFT(D12,2)="PA",VLOOKUP(D12,INDIRECT(#REF!),3,FALSE),"/")</f>
        <v>#REF!</v>
      </c>
      <c r="L12" s="53" t="e">
        <f ca="1">IF(LEFT(D12,2)="PA",VLOOKUP(D12,INDIRECT(#REF!),4,FALSE),"/")</f>
        <v>#REF!</v>
      </c>
      <c r="M12" s="18"/>
      <c r="N12" s="90"/>
      <c r="O12" s="110"/>
      <c r="P12" s="117"/>
      <c r="Q12" s="90">
        <v>1</v>
      </c>
      <c r="R12" s="91">
        <v>1</v>
      </c>
      <c r="S12" s="123">
        <v>1</v>
      </c>
      <c r="T12" s="125">
        <v>1</v>
      </c>
      <c r="U12" s="103">
        <v>1</v>
      </c>
      <c r="V12" s="104">
        <v>1</v>
      </c>
      <c r="W12" s="125"/>
      <c r="X12" s="114"/>
      <c r="Y12" s="104"/>
      <c r="Z12" s="120"/>
      <c r="AA12" s="114"/>
      <c r="AB12" s="104"/>
      <c r="AD12" s="149"/>
      <c r="AE12" s="150"/>
      <c r="AF12" s="151"/>
      <c r="AG12" s="149">
        <f>-5+30</f>
        <v>25</v>
      </c>
      <c r="AH12" s="150">
        <f>-8+30</f>
        <v>22</v>
      </c>
      <c r="AI12" s="151">
        <f>-14+30</f>
        <v>16</v>
      </c>
      <c r="AJ12" s="146"/>
      <c r="AK12" s="147"/>
      <c r="AL12" s="148"/>
      <c r="AM12" s="146"/>
      <c r="AN12" s="147"/>
      <c r="AO12" s="148"/>
      <c r="AQ12" s="187">
        <f>IF( AD12&lt;&gt;"", ((1000+AD12+5)/1000)*($K12/1000)*(1+#REF!)*#REF!, 0 )</f>
        <v>0</v>
      </c>
      <c r="AR12" s="188">
        <f>IF( AE12&lt;&gt;"", ((1000+AE12+5)/1000)*($K12/1000)*(1+#REF!)*#REF!, 0 )</f>
        <v>0</v>
      </c>
      <c r="AS12" s="189">
        <f>IF( AF12&lt;&gt;"", ((1000+AF12+5)/1000)*($K12/1000)*(1+#REF!)*#REF!, 0 )</f>
        <v>0</v>
      </c>
      <c r="AT12" s="172" t="e">
        <f ca="1">IF( AG12&lt;&gt;"", ((1000+AG12+5)/1000)*($K12/1000)*(1+#REF!)*#REF!, 0 )</f>
        <v>#REF!</v>
      </c>
      <c r="AU12" s="173" t="e">
        <f ca="1">IF( AH12&lt;&gt;"", ((1000+AH12+5)/1000)*($K12/1000)*(1+#REF!)*#REF!, 0 )</f>
        <v>#REF!</v>
      </c>
      <c r="AV12" s="174" t="e">
        <f ca="1">IF( AI12&lt;&gt;"", ((1000+AI12+5)/1000)*($K12/1000)*(1+#REF!)*#REF!, 0 )</f>
        <v>#REF!</v>
      </c>
      <c r="AW12" s="187">
        <f>IF( AJ12&lt;&gt;"", ((1000+AJ12+5)/1000)*($K12/1000)*(1+#REF!)*#REF!, 0 )</f>
        <v>0</v>
      </c>
      <c r="AX12" s="188">
        <f>IF( AK12&lt;&gt;"", ((1000+AK12+5)/1000)*($K12/1000)*(1+#REF!)*#REF!, 0 )</f>
        <v>0</v>
      </c>
      <c r="AY12" s="189">
        <f>IF( AL12&lt;&gt;"", ((1000+AL12+5)/1000)*($K12/1000)*(1+#REF!)*#REF!, 0 )</f>
        <v>0</v>
      </c>
      <c r="AZ12" s="172">
        <f>IF( AM12&lt;&gt;"", ((1000+AM12+5)/1000)*($K12/1000)*(1+#REF!)*#REF!, 0 )</f>
        <v>0</v>
      </c>
      <c r="BA12" s="173">
        <f>IF( AN12&lt;&gt;"", ((1000+AN12+5)/1000)*($K12/1000)*(1+#REF!)*#REF!, 0 )</f>
        <v>0</v>
      </c>
      <c r="BB12" s="174">
        <f>IF( AO12&lt;&gt;"", ((1000+AO12+5)/1000)*($K12/1000)*(1+#REF!)*#REF!, 0 )</f>
        <v>0</v>
      </c>
      <c r="BC12" s="168"/>
      <c r="BD12" s="249"/>
      <c r="BE12" s="238"/>
      <c r="BF12" s="239"/>
      <c r="BG12" s="168"/>
      <c r="BH12" s="172"/>
      <c r="BI12" s="188"/>
      <c r="BJ12" s="188"/>
      <c r="BK12" s="189"/>
      <c r="BL12" s="168"/>
      <c r="BM12" s="197">
        <f>IF(AD12&lt;&gt;"",(MAX(0.12,$L12)*(AD12+5)/1000*(1+#REF!)*#REF!),0)</f>
        <v>0</v>
      </c>
      <c r="BN12" s="198">
        <f>IF(AE12&lt;&gt;"",(MAX(0.12,$L12)*(AE12+5)/1000*(1+#REF!)*#REF!),0)</f>
        <v>0</v>
      </c>
      <c r="BO12" s="199">
        <f>IF(AF12&lt;&gt;"",(MAX(0.12,$L12)*(AF12+5)/1000*(1+#REF!)*#REF!),0)</f>
        <v>0</v>
      </c>
      <c r="BP12" s="178" t="e">
        <f ca="1">IF(AG12&lt;&gt;"",(MAX(0.12,$L12)*(AG12+5)/1000*(1+#REF!)*#REF!),0)</f>
        <v>#REF!</v>
      </c>
      <c r="BQ12" s="179" t="e">
        <f ca="1">IF(AH12&lt;&gt;"",(MAX(0.12,$L12)*(AH12+5)/1000*(1+#REF!)*#REF!),0)</f>
        <v>#REF!</v>
      </c>
      <c r="BR12" s="180" t="e">
        <f ca="1">IF(AI12&lt;&gt;"",(MAX(0.12,$L12)*(AI12+5)/1000*(1+#REF!)*#REF!),0)</f>
        <v>#REF!</v>
      </c>
      <c r="BS12" s="197">
        <f>IF(AJ12&lt;&gt;"",(MAX(0.12,$L12)*(AJ12+5)/1000*(1+#REF!)*#REF!),0)</f>
        <v>0</v>
      </c>
      <c r="BT12" s="198">
        <f>IF(AK12&lt;&gt;"",(MAX(0.12,$L12)*(AK12+5)/1000*(1+#REF!)*#REF!),0)</f>
        <v>0</v>
      </c>
      <c r="BU12" s="199">
        <f>IF(AL12&lt;&gt;"",(MAX(0.12,$L12)*(AL12+5)/1000*(1+#REF!)*#REF!),0)</f>
        <v>0</v>
      </c>
      <c r="BV12" s="178">
        <f>IF(AM12&lt;&gt;"",(MAX(0.12,$L12)*(AM12+5)/1000*(1+#REF!)*#REF!),0)</f>
        <v>0</v>
      </c>
      <c r="BW12" s="179">
        <f>IF(AN12&lt;&gt;"",(MAX(0.12,$L12)*(AN12+5)/1000*(1+#REF!)*#REF!),0)</f>
        <v>0</v>
      </c>
      <c r="BX12" s="180">
        <f>IF(AO12&lt;&gt;"",(MAX(0.12,$L12)*(AO12+5)/1000*(1+#REF!)*#REF!),0)</f>
        <v>0</v>
      </c>
      <c r="BZ12" s="258"/>
      <c r="CA12" s="244"/>
      <c r="CB12" s="245"/>
      <c r="CD12" s="178"/>
      <c r="CE12" s="198"/>
      <c r="CF12" s="198"/>
      <c r="CG12" s="199"/>
      <c r="CI12" s="92"/>
      <c r="CJ12" s="94"/>
      <c r="CK12" s="93"/>
      <c r="CM12" s="203">
        <f t="shared" si="10"/>
        <v>0</v>
      </c>
      <c r="CN12" s="204">
        <f t="shared" si="0"/>
        <v>0</v>
      </c>
      <c r="CO12" s="205">
        <f t="shared" si="0"/>
        <v>0</v>
      </c>
      <c r="CQ12" s="203" t="e">
        <f t="shared" ca="1" si="1"/>
        <v>#REF!</v>
      </c>
      <c r="CR12" s="204" t="e">
        <f t="shared" ca="1" si="2"/>
        <v>#REF!</v>
      </c>
      <c r="CS12" s="205" t="e">
        <f t="shared" ca="1" si="3"/>
        <v>#REF!</v>
      </c>
      <c r="CU12" s="203" t="e">
        <f t="shared" ca="1" si="4"/>
        <v>#REF!</v>
      </c>
      <c r="CV12" s="204" t="e">
        <f t="shared" ca="1" si="5"/>
        <v>#REF!</v>
      </c>
      <c r="CW12" s="205" t="e">
        <f t="shared" ca="1" si="6"/>
        <v>#REF!</v>
      </c>
      <c r="CY12" s="203">
        <f t="shared" si="7"/>
        <v>0</v>
      </c>
      <c r="CZ12" s="204">
        <f t="shared" si="8"/>
        <v>0</v>
      </c>
      <c r="DA12" s="205">
        <f t="shared" si="9"/>
        <v>0</v>
      </c>
    </row>
    <row r="13" spans="1:105" ht="30" customHeight="1" x14ac:dyDescent="0.2">
      <c r="A13" s="26" t="s">
        <v>69</v>
      </c>
      <c r="B13" s="101" t="s">
        <v>88</v>
      </c>
      <c r="C13" s="8">
        <v>1</v>
      </c>
      <c r="D13" s="89" t="s">
        <v>60</v>
      </c>
      <c r="E13" s="11" t="s">
        <v>14</v>
      </c>
      <c r="F13" s="35" t="e">
        <f ca="1">IF(LEFT(D13,2)="PA",VLOOKUP(D13,INDIRECT(#REF!),5,FALSE),"/")</f>
        <v>#REF!</v>
      </c>
      <c r="G13" s="41" t="str">
        <f ca="1">IF(LEFT(E13,2)="PF",VLOOKUP(E13,INDIRECT(#REF!),5,FALSE),"/")</f>
        <v>/</v>
      </c>
      <c r="H13" s="36" t="str">
        <f ca="1">IF(LEFT(E13,2)="PF",VLOOKUP(E13,INDIRECT(#REF!),6,FALSE),"/")</f>
        <v>/</v>
      </c>
      <c r="I13" s="87"/>
      <c r="J13" s="88"/>
      <c r="K13" s="50" t="e">
        <f ca="1">IF(LEFT(D13,2)="PA",VLOOKUP(D13,INDIRECT(#REF!),3,FALSE),"/")</f>
        <v>#REF!</v>
      </c>
      <c r="L13" s="53" t="e">
        <f ca="1">IF(LEFT(D13,2)="PA",VLOOKUP(D13,INDIRECT(#REF!),4,FALSE),"/")</f>
        <v>#REF!</v>
      </c>
      <c r="M13" s="18"/>
      <c r="N13" s="90"/>
      <c r="O13" s="110"/>
      <c r="P13" s="117"/>
      <c r="Q13" s="90">
        <v>4</v>
      </c>
      <c r="R13" s="91">
        <v>4</v>
      </c>
      <c r="S13" s="123">
        <v>4</v>
      </c>
      <c r="T13" s="125">
        <v>2</v>
      </c>
      <c r="U13" s="103">
        <v>2</v>
      </c>
      <c r="V13" s="104">
        <v>2</v>
      </c>
      <c r="W13" s="125"/>
      <c r="X13" s="114"/>
      <c r="Y13" s="104"/>
      <c r="Z13" s="120"/>
      <c r="AA13" s="114"/>
      <c r="AB13" s="104"/>
      <c r="AD13" s="149">
        <f>30-5</f>
        <v>25</v>
      </c>
      <c r="AE13" s="150">
        <f>30-8</f>
        <v>22</v>
      </c>
      <c r="AF13" s="151">
        <f>30-14</f>
        <v>16</v>
      </c>
      <c r="AG13" s="149"/>
      <c r="AH13" s="150"/>
      <c r="AI13" s="151"/>
      <c r="AJ13" s="146"/>
      <c r="AK13" s="147"/>
      <c r="AL13" s="148"/>
      <c r="AM13" s="146"/>
      <c r="AN13" s="147"/>
      <c r="AO13" s="148"/>
      <c r="AQ13" s="187" t="e">
        <f ca="1">IF( AD13&lt;&gt;"", ((1000+AD13+5)/1000)*($K13/1000)*(1+#REF!)*#REF!, 0 )</f>
        <v>#REF!</v>
      </c>
      <c r="AR13" s="188" t="e">
        <f ca="1">IF( AE13&lt;&gt;"", ((1000+AE13+5)/1000)*($K13/1000)*(1+#REF!)*#REF!, 0 )</f>
        <v>#REF!</v>
      </c>
      <c r="AS13" s="189" t="e">
        <f ca="1">IF( AF13&lt;&gt;"", ((1000+AF13+5)/1000)*($K13/1000)*(1+#REF!)*#REF!, 0 )</f>
        <v>#REF!</v>
      </c>
      <c r="AT13" s="172">
        <f>IF( AG13&lt;&gt;"", ((1000+AG13+5)/1000)*($K13/1000)*(1+#REF!)*#REF!, 0 )</f>
        <v>0</v>
      </c>
      <c r="AU13" s="173">
        <f>IF( AH13&lt;&gt;"", ((1000+AH13+5)/1000)*($K13/1000)*(1+#REF!)*#REF!, 0 )</f>
        <v>0</v>
      </c>
      <c r="AV13" s="174">
        <f>IF( AI13&lt;&gt;"", ((1000+AI13+5)/1000)*($K13/1000)*(1+#REF!)*#REF!, 0 )</f>
        <v>0</v>
      </c>
      <c r="AW13" s="187">
        <f>IF( AJ13&lt;&gt;"", ((1000+AJ13+5)/1000)*($K13/1000)*(1+#REF!)*#REF!, 0 )</f>
        <v>0</v>
      </c>
      <c r="AX13" s="188">
        <f>IF( AK13&lt;&gt;"", ((1000+AK13+5)/1000)*($K13/1000)*(1+#REF!)*#REF!, 0 )</f>
        <v>0</v>
      </c>
      <c r="AY13" s="189">
        <f>IF( AL13&lt;&gt;"", ((1000+AL13+5)/1000)*($K13/1000)*(1+#REF!)*#REF!, 0 )</f>
        <v>0</v>
      </c>
      <c r="AZ13" s="172">
        <f>IF( AM13&lt;&gt;"", ((1000+AM13+5)/1000)*($K13/1000)*(1+#REF!)*#REF!, 0 )</f>
        <v>0</v>
      </c>
      <c r="BA13" s="173">
        <f>IF( AN13&lt;&gt;"", ((1000+AN13+5)/1000)*($K13/1000)*(1+#REF!)*#REF!, 0 )</f>
        <v>0</v>
      </c>
      <c r="BB13" s="174">
        <f>IF( AO13&lt;&gt;"", ((1000+AO13+5)/1000)*($K13/1000)*(1+#REF!)*#REF!, 0 )</f>
        <v>0</v>
      </c>
      <c r="BC13" s="168"/>
      <c r="BD13" s="249"/>
      <c r="BE13" s="238"/>
      <c r="BF13" s="239"/>
      <c r="BG13" s="168"/>
      <c r="BH13" s="172"/>
      <c r="BI13" s="188"/>
      <c r="BJ13" s="188"/>
      <c r="BK13" s="189"/>
      <c r="BL13" s="168"/>
      <c r="BM13" s="197" t="e">
        <f ca="1">IF(AD13&lt;&gt;"",(MAX(0.12,$L13)*(AD13+5)/1000*(1+#REF!)*#REF!),0)</f>
        <v>#REF!</v>
      </c>
      <c r="BN13" s="198" t="e">
        <f ca="1">IF(AE13&lt;&gt;"",(MAX(0.12,$L13)*(AE13+5)/1000*(1+#REF!)*#REF!),0)</f>
        <v>#REF!</v>
      </c>
      <c r="BO13" s="199" t="e">
        <f ca="1">IF(AF13&lt;&gt;"",(MAX(0.12,$L13)*(AF13+5)/1000*(1+#REF!)*#REF!),0)</f>
        <v>#REF!</v>
      </c>
      <c r="BP13" s="178">
        <f>IF(AG13&lt;&gt;"",(MAX(0.12,$L13)*(AG13+5)/1000*(1+#REF!)*#REF!),0)</f>
        <v>0</v>
      </c>
      <c r="BQ13" s="179">
        <f>IF(AH13&lt;&gt;"",(MAX(0.12,$L13)*(AH13+5)/1000*(1+#REF!)*#REF!),0)</f>
        <v>0</v>
      </c>
      <c r="BR13" s="180">
        <f>IF(AI13&lt;&gt;"",(MAX(0.12,$L13)*(AI13+5)/1000*(1+#REF!)*#REF!),0)</f>
        <v>0</v>
      </c>
      <c r="BS13" s="197">
        <f>IF(AJ13&lt;&gt;"",(MAX(0.12,$L13)*(AJ13+5)/1000*(1+#REF!)*#REF!),0)</f>
        <v>0</v>
      </c>
      <c r="BT13" s="198">
        <f>IF(AK13&lt;&gt;"",(MAX(0.12,$L13)*(AK13+5)/1000*(1+#REF!)*#REF!),0)</f>
        <v>0</v>
      </c>
      <c r="BU13" s="199">
        <f>IF(AL13&lt;&gt;"",(MAX(0.12,$L13)*(AL13+5)/1000*(1+#REF!)*#REF!),0)</f>
        <v>0</v>
      </c>
      <c r="BV13" s="178">
        <f>IF(AM13&lt;&gt;"",(MAX(0.12,$L13)*(AM13+5)/1000*(1+#REF!)*#REF!),0)</f>
        <v>0</v>
      </c>
      <c r="BW13" s="179">
        <f>IF(AN13&lt;&gt;"",(MAX(0.12,$L13)*(AN13+5)/1000*(1+#REF!)*#REF!),0)</f>
        <v>0</v>
      </c>
      <c r="BX13" s="180">
        <f>IF(AO13&lt;&gt;"",(MAX(0.12,$L13)*(AO13+5)/1000*(1+#REF!)*#REF!),0)</f>
        <v>0</v>
      </c>
      <c r="BZ13" s="258"/>
      <c r="CA13" s="244"/>
      <c r="CB13" s="245"/>
      <c r="CD13" s="178"/>
      <c r="CE13" s="198"/>
      <c r="CF13" s="198"/>
      <c r="CG13" s="199"/>
      <c r="CI13" s="92"/>
      <c r="CJ13" s="94"/>
      <c r="CK13" s="93"/>
      <c r="CM13" s="203">
        <f t="shared" si="10"/>
        <v>0</v>
      </c>
      <c r="CN13" s="204">
        <f t="shared" si="0"/>
        <v>0</v>
      </c>
      <c r="CO13" s="205">
        <f t="shared" si="0"/>
        <v>0</v>
      </c>
      <c r="CQ13" s="203" t="e">
        <f t="shared" ca="1" si="1"/>
        <v>#REF!</v>
      </c>
      <c r="CR13" s="204" t="e">
        <f t="shared" ca="1" si="2"/>
        <v>#REF!</v>
      </c>
      <c r="CS13" s="205" t="e">
        <f t="shared" ca="1" si="3"/>
        <v>#REF!</v>
      </c>
      <c r="CU13" s="203" t="e">
        <f t="shared" ca="1" si="4"/>
        <v>#REF!</v>
      </c>
      <c r="CV13" s="204" t="e">
        <f t="shared" ca="1" si="5"/>
        <v>#REF!</v>
      </c>
      <c r="CW13" s="205" t="e">
        <f t="shared" ca="1" si="6"/>
        <v>#REF!</v>
      </c>
      <c r="CY13" s="203">
        <f t="shared" si="7"/>
        <v>0</v>
      </c>
      <c r="CZ13" s="204">
        <f t="shared" si="8"/>
        <v>0</v>
      </c>
      <c r="DA13" s="205">
        <f t="shared" si="9"/>
        <v>0</v>
      </c>
    </row>
    <row r="14" spans="1:105" ht="30" customHeight="1" x14ac:dyDescent="0.2">
      <c r="A14" s="26" t="s">
        <v>69</v>
      </c>
      <c r="B14" s="101" t="s">
        <v>89</v>
      </c>
      <c r="C14" s="8">
        <v>1</v>
      </c>
      <c r="D14" s="89" t="s">
        <v>60</v>
      </c>
      <c r="E14" s="11" t="s">
        <v>14</v>
      </c>
      <c r="F14" s="35" t="e">
        <f ca="1">IF(LEFT(D14,2)="PA",VLOOKUP(D14,INDIRECT(#REF!),5,FALSE),"/")</f>
        <v>#REF!</v>
      </c>
      <c r="G14" s="41" t="str">
        <f ca="1">IF(LEFT(E14,2)="PF",VLOOKUP(E14,INDIRECT(#REF!),5,FALSE),"/")</f>
        <v>/</v>
      </c>
      <c r="H14" s="36" t="str">
        <f ca="1">IF(LEFT(E14,2)="PF",VLOOKUP(E14,INDIRECT(#REF!),6,FALSE),"/")</f>
        <v>/</v>
      </c>
      <c r="I14" s="87"/>
      <c r="J14" s="88"/>
      <c r="K14" s="50" t="e">
        <f ca="1">IF(LEFT(D14,2)="PA",VLOOKUP(D14,INDIRECT(#REF!),3,FALSE),"/")</f>
        <v>#REF!</v>
      </c>
      <c r="L14" s="53" t="e">
        <f ca="1">IF(LEFT(D14,2)="PA",VLOOKUP(D14,INDIRECT(#REF!),4,FALSE),"/")</f>
        <v>#REF!</v>
      </c>
      <c r="M14" s="18"/>
      <c r="N14" s="90"/>
      <c r="O14" s="110"/>
      <c r="P14" s="117"/>
      <c r="Q14" s="90"/>
      <c r="R14" s="91"/>
      <c r="S14" s="123"/>
      <c r="T14" s="125">
        <v>1</v>
      </c>
      <c r="U14" s="103">
        <v>1</v>
      </c>
      <c r="V14" s="104">
        <v>1</v>
      </c>
      <c r="W14" s="127"/>
      <c r="X14" s="115"/>
      <c r="Y14" s="128"/>
      <c r="Z14" s="121"/>
      <c r="AA14" s="115"/>
      <c r="AB14" s="104"/>
      <c r="AD14" s="149"/>
      <c r="AE14" s="150"/>
      <c r="AF14" s="151"/>
      <c r="AG14" s="149">
        <f>-5+30</f>
        <v>25</v>
      </c>
      <c r="AH14" s="150">
        <f>-8+30</f>
        <v>22</v>
      </c>
      <c r="AI14" s="151">
        <f>-14+30</f>
        <v>16</v>
      </c>
      <c r="AJ14" s="146"/>
      <c r="AK14" s="147"/>
      <c r="AL14" s="148"/>
      <c r="AM14" s="146"/>
      <c r="AN14" s="147"/>
      <c r="AO14" s="148"/>
      <c r="AQ14" s="187">
        <f>IF( AD14&lt;&gt;"", ((1000+AD14+5)/1000)*($K14/1000)*(1+#REF!)*#REF!, 0 )</f>
        <v>0</v>
      </c>
      <c r="AR14" s="188">
        <f>IF( AE14&lt;&gt;"", ((1000+AE14+5)/1000)*($K14/1000)*(1+#REF!)*#REF!, 0 )</f>
        <v>0</v>
      </c>
      <c r="AS14" s="189">
        <f>IF( AF14&lt;&gt;"", ((1000+AF14+5)/1000)*($K14/1000)*(1+#REF!)*#REF!, 0 )</f>
        <v>0</v>
      </c>
      <c r="AT14" s="172" t="e">
        <f ca="1">IF( AG14&lt;&gt;"", ((1000+AG14+5)/1000)*($K14/1000)*(1+#REF!)*#REF!, 0 )</f>
        <v>#REF!</v>
      </c>
      <c r="AU14" s="173" t="e">
        <f ca="1">IF( AH14&lt;&gt;"", ((1000+AH14+5)/1000)*($K14/1000)*(1+#REF!)*#REF!, 0 )</f>
        <v>#REF!</v>
      </c>
      <c r="AV14" s="174" t="e">
        <f ca="1">IF( AI14&lt;&gt;"", ((1000+AI14+5)/1000)*($K14/1000)*(1+#REF!)*#REF!, 0 )</f>
        <v>#REF!</v>
      </c>
      <c r="AW14" s="187">
        <f>IF( AJ14&lt;&gt;"", ((1000+AJ14+5)/1000)*($K14/1000)*(1+#REF!)*#REF!, 0 )</f>
        <v>0</v>
      </c>
      <c r="AX14" s="188">
        <f>IF( AK14&lt;&gt;"", ((1000+AK14+5)/1000)*($K14/1000)*(1+#REF!)*#REF!, 0 )</f>
        <v>0</v>
      </c>
      <c r="AY14" s="189">
        <f>IF( AL14&lt;&gt;"", ((1000+AL14+5)/1000)*($K14/1000)*(1+#REF!)*#REF!, 0 )</f>
        <v>0</v>
      </c>
      <c r="AZ14" s="172">
        <f>IF( AM14&lt;&gt;"", ((1000+AM14+5)/1000)*($K14/1000)*(1+#REF!)*#REF!, 0 )</f>
        <v>0</v>
      </c>
      <c r="BA14" s="173">
        <f>IF( AN14&lt;&gt;"", ((1000+AN14+5)/1000)*($K14/1000)*(1+#REF!)*#REF!, 0 )</f>
        <v>0</v>
      </c>
      <c r="BB14" s="174">
        <f>IF( AO14&lt;&gt;"", ((1000+AO14+5)/1000)*($K14/1000)*(1+#REF!)*#REF!, 0 )</f>
        <v>0</v>
      </c>
      <c r="BC14" s="168"/>
      <c r="BD14" s="249"/>
      <c r="BE14" s="238"/>
      <c r="BF14" s="239"/>
      <c r="BG14" s="168"/>
      <c r="BH14" s="172"/>
      <c r="BI14" s="188"/>
      <c r="BJ14" s="188"/>
      <c r="BK14" s="189"/>
      <c r="BL14" s="168"/>
      <c r="BM14" s="197">
        <f>IF(AD14&lt;&gt;"",(MAX(0.12,$L14)*(AD14+5)/1000*(1+#REF!)*#REF!),0)</f>
        <v>0</v>
      </c>
      <c r="BN14" s="198">
        <f>IF(AE14&lt;&gt;"",(MAX(0.12,$L14)*(AE14+5)/1000*(1+#REF!)*#REF!),0)</f>
        <v>0</v>
      </c>
      <c r="BO14" s="199">
        <f>IF(AF14&lt;&gt;"",(MAX(0.12,$L14)*(AF14+5)/1000*(1+#REF!)*#REF!),0)</f>
        <v>0</v>
      </c>
      <c r="BP14" s="178" t="e">
        <f ca="1">IF(AG14&lt;&gt;"",(MAX(0.12,$L14)*(AG14+5)/1000*(1+#REF!)*#REF!),0)</f>
        <v>#REF!</v>
      </c>
      <c r="BQ14" s="179" t="e">
        <f ca="1">IF(AH14&lt;&gt;"",(MAX(0.12,$L14)*(AH14+5)/1000*(1+#REF!)*#REF!),0)</f>
        <v>#REF!</v>
      </c>
      <c r="BR14" s="180" t="e">
        <f ca="1">IF(AI14&lt;&gt;"",(MAX(0.12,$L14)*(AI14+5)/1000*(1+#REF!)*#REF!),0)</f>
        <v>#REF!</v>
      </c>
      <c r="BS14" s="197">
        <f>IF(AJ14&lt;&gt;"",(MAX(0.12,$L14)*(AJ14+5)/1000*(1+#REF!)*#REF!),0)</f>
        <v>0</v>
      </c>
      <c r="BT14" s="198">
        <f>IF(AK14&lt;&gt;"",(MAX(0.12,$L14)*(AK14+5)/1000*(1+#REF!)*#REF!),0)</f>
        <v>0</v>
      </c>
      <c r="BU14" s="199">
        <f>IF(AL14&lt;&gt;"",(MAX(0.12,$L14)*(AL14+5)/1000*(1+#REF!)*#REF!),0)</f>
        <v>0</v>
      </c>
      <c r="BV14" s="178">
        <f>IF(AM14&lt;&gt;"",(MAX(0.12,$L14)*(AM14+5)/1000*(1+#REF!)*#REF!),0)</f>
        <v>0</v>
      </c>
      <c r="BW14" s="179">
        <f>IF(AN14&lt;&gt;"",(MAX(0.12,$L14)*(AN14+5)/1000*(1+#REF!)*#REF!),0)</f>
        <v>0</v>
      </c>
      <c r="BX14" s="180">
        <f>IF(AO14&lt;&gt;"",(MAX(0.12,$L14)*(AO14+5)/1000*(1+#REF!)*#REF!),0)</f>
        <v>0</v>
      </c>
      <c r="BZ14" s="258"/>
      <c r="CA14" s="244"/>
      <c r="CB14" s="245"/>
      <c r="CD14" s="178"/>
      <c r="CE14" s="198"/>
      <c r="CF14" s="198"/>
      <c r="CG14" s="199"/>
      <c r="CI14" s="92"/>
      <c r="CJ14" s="94"/>
      <c r="CK14" s="93"/>
      <c r="CM14" s="203">
        <f t="shared" si="10"/>
        <v>0</v>
      </c>
      <c r="CN14" s="204">
        <f t="shared" si="0"/>
        <v>0</v>
      </c>
      <c r="CO14" s="205">
        <f t="shared" si="0"/>
        <v>0</v>
      </c>
      <c r="CQ14" s="203">
        <f t="shared" si="1"/>
        <v>0</v>
      </c>
      <c r="CR14" s="204">
        <f t="shared" si="2"/>
        <v>0</v>
      </c>
      <c r="CS14" s="205">
        <f t="shared" si="3"/>
        <v>0</v>
      </c>
      <c r="CU14" s="203" t="e">
        <f t="shared" ca="1" si="4"/>
        <v>#REF!</v>
      </c>
      <c r="CV14" s="204" t="e">
        <f t="shared" ca="1" si="5"/>
        <v>#REF!</v>
      </c>
      <c r="CW14" s="205" t="e">
        <f t="shared" ca="1" si="6"/>
        <v>#REF!</v>
      </c>
      <c r="CY14" s="203">
        <f t="shared" si="7"/>
        <v>0</v>
      </c>
      <c r="CZ14" s="204">
        <f t="shared" si="8"/>
        <v>0</v>
      </c>
      <c r="DA14" s="205">
        <f t="shared" si="9"/>
        <v>0</v>
      </c>
    </row>
    <row r="15" spans="1:105" ht="30" customHeight="1" x14ac:dyDescent="0.2">
      <c r="A15" s="26" t="s">
        <v>48</v>
      </c>
      <c r="B15" s="100" t="s">
        <v>49</v>
      </c>
      <c r="C15" s="8">
        <v>1</v>
      </c>
      <c r="D15" s="89" t="s">
        <v>57</v>
      </c>
      <c r="E15" s="11" t="s">
        <v>14</v>
      </c>
      <c r="F15" s="35" t="e">
        <f ca="1">IF(LEFT(D15,2)="PA",VLOOKUP(D15,INDIRECT(#REF!),5,FALSE),"/")</f>
        <v>#REF!</v>
      </c>
      <c r="G15" s="41" t="str">
        <f ca="1">IF(LEFT(E15,2)="PF",VLOOKUP(E15,INDIRECT(#REF!),5,FALSE),"/")</f>
        <v>/</v>
      </c>
      <c r="H15" s="36" t="str">
        <f ca="1">IF(LEFT(E15,2)="PF",VLOOKUP(E15,INDIRECT(#REF!),6,FALSE),"/")</f>
        <v>/</v>
      </c>
      <c r="I15" s="515"/>
      <c r="J15" s="516"/>
      <c r="K15" s="50" t="e">
        <f ca="1">IF(LEFT(D15,2)="PA",VLOOKUP(D15,INDIRECT(#REF!),3,FALSE),"/")</f>
        <v>#REF!</v>
      </c>
      <c r="L15" s="53" t="e">
        <f ca="1">IF(LEFT(D15,2)="PA",VLOOKUP(D15,INDIRECT(#REF!),4,FALSE),"/")</f>
        <v>#REF!</v>
      </c>
      <c r="M15" s="18"/>
      <c r="N15" s="90">
        <v>1</v>
      </c>
      <c r="O15" s="110">
        <v>1</v>
      </c>
      <c r="P15" s="117">
        <v>1</v>
      </c>
      <c r="Q15" s="90"/>
      <c r="R15" s="91"/>
      <c r="S15" s="123"/>
      <c r="T15" s="125"/>
      <c r="U15" s="103"/>
      <c r="V15" s="104"/>
      <c r="W15" s="125"/>
      <c r="X15" s="114"/>
      <c r="Y15" s="104"/>
      <c r="Z15" s="120"/>
      <c r="AA15" s="114"/>
      <c r="AB15" s="104"/>
      <c r="AD15" s="149"/>
      <c r="AE15" s="150"/>
      <c r="AF15" s="151"/>
      <c r="AG15" s="149"/>
      <c r="AH15" s="150"/>
      <c r="AI15" s="151"/>
      <c r="AJ15" s="146"/>
      <c r="AK15" s="147"/>
      <c r="AL15" s="148"/>
      <c r="AM15" s="146">
        <f t="shared" ref="AM15:AO21" si="11">(-16.7*2)-(2*2)</f>
        <v>-37.4</v>
      </c>
      <c r="AN15" s="147">
        <f t="shared" si="11"/>
        <v>-37.4</v>
      </c>
      <c r="AO15" s="148">
        <f t="shared" si="11"/>
        <v>-37.4</v>
      </c>
      <c r="AQ15" s="187">
        <f>IF( AD15&lt;&gt;"", ((1000+AD15+5)/1000)*($K15/1000)*(1+#REF!)*#REF!, 0 )</f>
        <v>0</v>
      </c>
      <c r="AR15" s="188">
        <f>IF( AE15&lt;&gt;"", ((1000+AE15+5)/1000)*($K15/1000)*(1+#REF!)*#REF!, 0 )</f>
        <v>0</v>
      </c>
      <c r="AS15" s="189">
        <f>IF( AF15&lt;&gt;"", ((1000+AF15+5)/1000)*($K15/1000)*(1+#REF!)*#REF!, 0 )</f>
        <v>0</v>
      </c>
      <c r="AT15" s="172">
        <f>IF( AG15&lt;&gt;"", ((1000+AG15+5)/1000)*($K15/1000)*(1+#REF!)*#REF!, 0 )</f>
        <v>0</v>
      </c>
      <c r="AU15" s="173">
        <f>IF( AH15&lt;&gt;"", ((1000+AH15+5)/1000)*($K15/1000)*(1+#REF!)*#REF!, 0 )</f>
        <v>0</v>
      </c>
      <c r="AV15" s="174">
        <f>IF( AI15&lt;&gt;"", ((1000+AI15+5)/1000)*($K15/1000)*(1+#REF!)*#REF!, 0 )</f>
        <v>0</v>
      </c>
      <c r="AW15" s="187">
        <f>IF( AJ15&lt;&gt;"", ((1000+AJ15+5)/1000)*($K15/1000)*(1+#REF!)*#REF!, 0 )</f>
        <v>0</v>
      </c>
      <c r="AX15" s="188">
        <f>IF( AK15&lt;&gt;"", ((1000+AK15+5)/1000)*($K15/1000)*(1+#REF!)*#REF!, 0 )</f>
        <v>0</v>
      </c>
      <c r="AY15" s="189">
        <f>IF( AL15&lt;&gt;"", ((1000+AL15+5)/1000)*($K15/1000)*(1+#REF!)*#REF!, 0 )</f>
        <v>0</v>
      </c>
      <c r="AZ15" s="172" t="e">
        <f ca="1">IF( AM15&lt;&gt;"", ((1000+AM15+5)/1000)*($K15/1000)*(1+#REF!)*#REF!, 0 )</f>
        <v>#REF!</v>
      </c>
      <c r="BA15" s="173" t="e">
        <f ca="1">IF( AN15&lt;&gt;"", ((1000+AN15+5)/1000)*($K15/1000)*(1+#REF!)*#REF!, 0 )</f>
        <v>#REF!</v>
      </c>
      <c r="BB15" s="174" t="e">
        <f ca="1">IF( AO15&lt;&gt;"", ((1000+AO15+5)/1000)*($K15/1000)*(1+#REF!)*#REF!, 0 )</f>
        <v>#REF!</v>
      </c>
      <c r="BC15" s="168"/>
      <c r="BD15" s="249"/>
      <c r="BE15" s="238"/>
      <c r="BF15" s="239"/>
      <c r="BG15" s="168"/>
      <c r="BH15" s="172"/>
      <c r="BI15" s="188"/>
      <c r="BJ15" s="188"/>
      <c r="BK15" s="189"/>
      <c r="BL15" s="168"/>
      <c r="BM15" s="197">
        <f>IF(AD15&lt;&gt;"",(MAX(0.12,$L15)*(AD15+5)/1000*(1+#REF!)*#REF!),0)</f>
        <v>0</v>
      </c>
      <c r="BN15" s="198">
        <f>IF(AE15&lt;&gt;"",(MAX(0.12,$L15)*(AE15+5)/1000*(1+#REF!)*#REF!),0)</f>
        <v>0</v>
      </c>
      <c r="BO15" s="199">
        <f>IF(AF15&lt;&gt;"",(MAX(0.12,$L15)*(AF15+5)/1000*(1+#REF!)*#REF!),0)</f>
        <v>0</v>
      </c>
      <c r="BP15" s="178">
        <f>IF(AG15&lt;&gt;"",(MAX(0.12,$L15)*(AG15+5)/1000*(1+#REF!)*#REF!),0)</f>
        <v>0</v>
      </c>
      <c r="BQ15" s="179">
        <f>IF(AH15&lt;&gt;"",(MAX(0.12,$L15)*(AH15+5)/1000*(1+#REF!)*#REF!),0)</f>
        <v>0</v>
      </c>
      <c r="BR15" s="180">
        <f>IF(AI15&lt;&gt;"",(MAX(0.12,$L15)*(AI15+5)/1000*(1+#REF!)*#REF!),0)</f>
        <v>0</v>
      </c>
      <c r="BS15" s="197">
        <f>IF(AJ15&lt;&gt;"",(MAX(0.12,$L15)*(AJ15+5)/1000*(1+#REF!)*#REF!),0)</f>
        <v>0</v>
      </c>
      <c r="BT15" s="198">
        <f>IF(AK15&lt;&gt;"",(MAX(0.12,$L15)*(AK15+5)/1000*(1+#REF!)*#REF!),0)</f>
        <v>0</v>
      </c>
      <c r="BU15" s="199">
        <f>IF(AL15&lt;&gt;"",(MAX(0.12,$L15)*(AL15+5)/1000*(1+#REF!)*#REF!),0)</f>
        <v>0</v>
      </c>
      <c r="BV15" s="178" t="e">
        <f ca="1">IF(AM15&lt;&gt;"",(MAX(0.12,$L15)*(1000+AM15+5)/1000*(1+#REF!)*#REF!),0)</f>
        <v>#REF!</v>
      </c>
      <c r="BW15" s="179" t="e">
        <f ca="1">IF(AN15&lt;&gt;"",(MAX(0.12,$L15)*(1000+AN15+5)/1000*(1+#REF!)*#REF!),0)</f>
        <v>#REF!</v>
      </c>
      <c r="BX15" s="180" t="e">
        <f ca="1">IF(AO15&lt;&gt;"",(MAX(0.12,$L15)*(1000+AO15+5)/1000*(1+#REF!)*#REF!),0)</f>
        <v>#REF!</v>
      </c>
      <c r="BZ15" s="258"/>
      <c r="CA15" s="244"/>
      <c r="CB15" s="245"/>
      <c r="CD15" s="178"/>
      <c r="CE15" s="198"/>
      <c r="CF15" s="198"/>
      <c r="CG15" s="199"/>
      <c r="CI15" s="92"/>
      <c r="CJ15" s="94"/>
      <c r="CK15" s="93"/>
      <c r="CM15" s="203" t="e">
        <f t="shared" ca="1" si="10"/>
        <v>#REF!</v>
      </c>
      <c r="CN15" s="204" t="e">
        <f t="shared" ca="1" si="0"/>
        <v>#REF!</v>
      </c>
      <c r="CO15" s="205" t="e">
        <f t="shared" ca="1" si="0"/>
        <v>#REF!</v>
      </c>
      <c r="CQ15" s="203">
        <f t="shared" si="1"/>
        <v>0</v>
      </c>
      <c r="CR15" s="204">
        <f t="shared" si="2"/>
        <v>0</v>
      </c>
      <c r="CS15" s="205">
        <f t="shared" si="3"/>
        <v>0</v>
      </c>
      <c r="CU15" s="203">
        <f t="shared" si="4"/>
        <v>0</v>
      </c>
      <c r="CV15" s="204">
        <f t="shared" si="5"/>
        <v>0</v>
      </c>
      <c r="CW15" s="205">
        <f t="shared" si="6"/>
        <v>0</v>
      </c>
      <c r="CY15" s="203">
        <f t="shared" si="7"/>
        <v>0</v>
      </c>
      <c r="CZ15" s="204">
        <f t="shared" si="8"/>
        <v>0</v>
      </c>
      <c r="DA15" s="205">
        <f t="shared" si="9"/>
        <v>0</v>
      </c>
    </row>
    <row r="16" spans="1:105" ht="30" customHeight="1" x14ac:dyDescent="0.2">
      <c r="A16" s="136" t="s">
        <v>48</v>
      </c>
      <c r="B16" s="137" t="s">
        <v>53</v>
      </c>
      <c r="C16" s="138">
        <v>1</v>
      </c>
      <c r="D16" s="89" t="s">
        <v>67</v>
      </c>
      <c r="E16" s="11" t="s">
        <v>14</v>
      </c>
      <c r="F16" s="35" t="e">
        <f ca="1">IF(LEFT(D16,2)="PA",VLOOKUP(D16,INDIRECT(#REF!),5,FALSE),"/")</f>
        <v>#REF!</v>
      </c>
      <c r="G16" s="41" t="str">
        <f ca="1">IF(LEFT(E16,2)="PF",VLOOKUP(E16,INDIRECT(#REF!),5,FALSE),"/")</f>
        <v>/</v>
      </c>
      <c r="H16" s="36" t="str">
        <f ca="1">IF(LEFT(E16,2)="PF",VLOOKUP(E16,INDIRECT(#REF!),6,FALSE),"/")</f>
        <v>/</v>
      </c>
      <c r="I16" s="515"/>
      <c r="J16" s="516"/>
      <c r="K16" s="50" t="e">
        <f ca="1">IF(LEFT(D16,2)="PA",VLOOKUP(D16,INDIRECT(#REF!),3,FALSE),"/")</f>
        <v>#REF!</v>
      </c>
      <c r="L16" s="53" t="e">
        <f ca="1">IF(LEFT(D16,2)="PA",VLOOKUP(D16,INDIRECT(#REF!),4,FALSE),"/")</f>
        <v>#REF!</v>
      </c>
      <c r="M16" s="18"/>
      <c r="N16" s="90">
        <v>1</v>
      </c>
      <c r="O16" s="110">
        <v>1</v>
      </c>
      <c r="P16" s="117">
        <v>1</v>
      </c>
      <c r="Q16" s="90"/>
      <c r="R16" s="91"/>
      <c r="S16" s="123"/>
      <c r="T16" s="125"/>
      <c r="U16" s="103"/>
      <c r="V16" s="104"/>
      <c r="W16" s="125"/>
      <c r="X16" s="114"/>
      <c r="Y16" s="104"/>
      <c r="Z16" s="120"/>
      <c r="AA16" s="114"/>
      <c r="AB16" s="104"/>
      <c r="AD16" s="149"/>
      <c r="AE16" s="150"/>
      <c r="AF16" s="151"/>
      <c r="AG16" s="149"/>
      <c r="AH16" s="150"/>
      <c r="AI16" s="151"/>
      <c r="AJ16" s="146"/>
      <c r="AK16" s="147"/>
      <c r="AL16" s="148"/>
      <c r="AM16" s="146">
        <f t="shared" si="11"/>
        <v>-37.4</v>
      </c>
      <c r="AN16" s="147">
        <f t="shared" si="11"/>
        <v>-37.4</v>
      </c>
      <c r="AO16" s="148">
        <f t="shared" si="11"/>
        <v>-37.4</v>
      </c>
      <c r="AQ16" s="187">
        <f>IF( AD16&lt;&gt;"", ((1000+AD16+5)/1000)*($K16/1000)*(1+#REF!)*#REF!, 0 )</f>
        <v>0</v>
      </c>
      <c r="AR16" s="188">
        <f>IF( AE16&lt;&gt;"", ((1000+AE16+5)/1000)*($K16/1000)*(1+#REF!)*#REF!, 0 )</f>
        <v>0</v>
      </c>
      <c r="AS16" s="189">
        <f>IF( AF16&lt;&gt;"", ((1000+AF16+5)/1000)*($K16/1000)*(1+#REF!)*#REF!, 0 )</f>
        <v>0</v>
      </c>
      <c r="AT16" s="172">
        <f>IF( AG16&lt;&gt;"", ((1000+AG16+5)/1000)*($K16/1000)*(1+#REF!)*#REF!, 0 )</f>
        <v>0</v>
      </c>
      <c r="AU16" s="173">
        <f>IF( AH16&lt;&gt;"", ((1000+AH16+5)/1000)*($K16/1000)*(1+#REF!)*#REF!, 0 )</f>
        <v>0</v>
      </c>
      <c r="AV16" s="174">
        <f>IF( AI16&lt;&gt;"", ((1000+AI16+5)/1000)*($K16/1000)*(1+#REF!)*#REF!, 0 )</f>
        <v>0</v>
      </c>
      <c r="AW16" s="187">
        <f>IF( AJ16&lt;&gt;"", ((1000+AJ16+5)/1000)*($K16/1000)*(1+#REF!)*#REF!, 0 )</f>
        <v>0</v>
      </c>
      <c r="AX16" s="188">
        <f>IF( AK16&lt;&gt;"", ((1000+AK16+5)/1000)*($K16/1000)*(1+#REF!)*#REF!, 0 )</f>
        <v>0</v>
      </c>
      <c r="AY16" s="189">
        <f>IF( AL16&lt;&gt;"", ((1000+AL16+5)/1000)*($K16/1000)*(1+#REF!)*#REF!, 0 )</f>
        <v>0</v>
      </c>
      <c r="AZ16" s="172" t="e">
        <f ca="1">IF( AM16&lt;&gt;"", ((1000+AM16+5)/1000)*($K16/1000)*(1+#REF!)*#REF!, 0 )</f>
        <v>#REF!</v>
      </c>
      <c r="BA16" s="173" t="e">
        <f ca="1">IF( AN16&lt;&gt;"", ((1000+AN16+5)/1000)*($K16/1000)*(1+#REF!)*#REF!, 0 )</f>
        <v>#REF!</v>
      </c>
      <c r="BB16" s="174" t="e">
        <f ca="1">IF( AO16&lt;&gt;"", ((1000+AO16+5)/1000)*($K16/1000)*(1+#REF!)*#REF!, 0 )</f>
        <v>#REF!</v>
      </c>
      <c r="BC16" s="168"/>
      <c r="BD16" s="249"/>
      <c r="BE16" s="238"/>
      <c r="BF16" s="239"/>
      <c r="BG16" s="168"/>
      <c r="BH16" s="172"/>
      <c r="BI16" s="188"/>
      <c r="BJ16" s="188"/>
      <c r="BK16" s="189"/>
      <c r="BL16" s="168"/>
      <c r="BM16" s="197">
        <f>IF(AD16&lt;&gt;"",(MAX(0.12,$L16)*(AD16+5)/1000*(1+#REF!)*#REF!),0)</f>
        <v>0</v>
      </c>
      <c r="BN16" s="198">
        <f>IF(AE16&lt;&gt;"",(MAX(0.12,$L16)*(AE16+5)/1000*(1+#REF!)*#REF!),0)</f>
        <v>0</v>
      </c>
      <c r="BO16" s="199">
        <f>IF(AF16&lt;&gt;"",(MAX(0.12,$L16)*(AF16+5)/1000*(1+#REF!)*#REF!),0)</f>
        <v>0</v>
      </c>
      <c r="BP16" s="178">
        <f>IF(AG16&lt;&gt;"",(MAX(0.12,$L16)*(AG16+5)/1000*(1+#REF!)*#REF!),0)</f>
        <v>0</v>
      </c>
      <c r="BQ16" s="179">
        <f>IF(AH16&lt;&gt;"",(MAX(0.12,$L16)*(AH16+5)/1000*(1+#REF!)*#REF!),0)</f>
        <v>0</v>
      </c>
      <c r="BR16" s="180">
        <f>IF(AI16&lt;&gt;"",(MAX(0.12,$L16)*(AI16+5)/1000*(1+#REF!)*#REF!),0)</f>
        <v>0</v>
      </c>
      <c r="BS16" s="197">
        <f>IF(AJ16&lt;&gt;"",(MAX(0.12,$L16)*(AJ16+5)/1000*(1+#REF!)*#REF!),0)</f>
        <v>0</v>
      </c>
      <c r="BT16" s="198">
        <f>IF(AK16&lt;&gt;"",(MAX(0.12,$L16)*(AK16+5)/1000*(1+#REF!)*#REF!),0)</f>
        <v>0</v>
      </c>
      <c r="BU16" s="199">
        <f>IF(AL16&lt;&gt;"",(MAX(0.12,$L16)*(AL16+5)/1000*(1+#REF!)*#REF!),0)</f>
        <v>0</v>
      </c>
      <c r="BV16" s="178" t="e">
        <f ca="1">IF(AM16&lt;&gt;"",(MAX(0.12,$L16)*(1000+AM16+5)/1000*(1+#REF!)*#REF!),0)</f>
        <v>#REF!</v>
      </c>
      <c r="BW16" s="179" t="e">
        <f ca="1">IF(AN16&lt;&gt;"",(MAX(0.12,$L16)*(1000+AN16+5)/1000*(1+#REF!)*#REF!),0)</f>
        <v>#REF!</v>
      </c>
      <c r="BX16" s="180" t="e">
        <f ca="1">IF(AO16&lt;&gt;"",(MAX(0.12,$L16)*(1000+AO16+5)/1000*(1+#REF!)*#REF!),0)</f>
        <v>#REF!</v>
      </c>
      <c r="BZ16" s="258"/>
      <c r="CA16" s="244"/>
      <c r="CB16" s="245"/>
      <c r="CD16" s="178"/>
      <c r="CE16" s="198"/>
      <c r="CF16" s="198"/>
      <c r="CG16" s="199"/>
      <c r="CI16" s="92"/>
      <c r="CJ16" s="94"/>
      <c r="CK16" s="93"/>
      <c r="CM16" s="203" t="e">
        <f t="shared" ca="1" si="10"/>
        <v>#REF!</v>
      </c>
      <c r="CN16" s="204" t="e">
        <f t="shared" ca="1" si="0"/>
        <v>#REF!</v>
      </c>
      <c r="CO16" s="205" t="e">
        <f t="shared" ca="1" si="0"/>
        <v>#REF!</v>
      </c>
      <c r="CQ16" s="203">
        <f t="shared" si="1"/>
        <v>0</v>
      </c>
      <c r="CR16" s="204">
        <f t="shared" si="2"/>
        <v>0</v>
      </c>
      <c r="CS16" s="205">
        <f t="shared" si="3"/>
        <v>0</v>
      </c>
      <c r="CU16" s="203">
        <f t="shared" si="4"/>
        <v>0</v>
      </c>
      <c r="CV16" s="204">
        <f t="shared" si="5"/>
        <v>0</v>
      </c>
      <c r="CW16" s="205">
        <f t="shared" si="6"/>
        <v>0</v>
      </c>
      <c r="CY16" s="203">
        <f t="shared" si="7"/>
        <v>0</v>
      </c>
      <c r="CZ16" s="204">
        <f t="shared" si="8"/>
        <v>0</v>
      </c>
      <c r="DA16" s="205">
        <f t="shared" si="9"/>
        <v>0</v>
      </c>
    </row>
    <row r="17" spans="1:112" ht="30" customHeight="1" x14ac:dyDescent="0.2">
      <c r="A17" s="95" t="s">
        <v>48</v>
      </c>
      <c r="B17" s="96" t="s">
        <v>50</v>
      </c>
      <c r="C17" s="97">
        <v>1</v>
      </c>
      <c r="D17" s="89" t="s">
        <v>58</v>
      </c>
      <c r="E17" s="11" t="s">
        <v>14</v>
      </c>
      <c r="F17" s="35" t="e">
        <f ca="1">IF(LEFT(D17,2)="PA",VLOOKUP(D17,INDIRECT(#REF!),5,FALSE),"/")</f>
        <v>#REF!</v>
      </c>
      <c r="G17" s="41" t="str">
        <f ca="1">IF(LEFT(E17,2)="PF",VLOOKUP(E17,INDIRECT(#REF!),5,FALSE),"/")</f>
        <v>/</v>
      </c>
      <c r="H17" s="36" t="str">
        <f ca="1">IF(LEFT(E17,2)="PF",VLOOKUP(E17,INDIRECT(#REF!),6,FALSE),"/")</f>
        <v>/</v>
      </c>
      <c r="I17" s="515"/>
      <c r="J17" s="516"/>
      <c r="K17" s="50" t="e">
        <f ca="1">IF(LEFT(D17,2)="PA",VLOOKUP(D17,INDIRECT(#REF!),3,FALSE),"/")</f>
        <v>#REF!</v>
      </c>
      <c r="L17" s="53" t="e">
        <f ca="1">IF(LEFT(D17,2)="PA",VLOOKUP(D17,INDIRECT(#REF!),4,FALSE),"/")</f>
        <v>#REF!</v>
      </c>
      <c r="M17" s="18"/>
      <c r="N17" s="90">
        <v>1</v>
      </c>
      <c r="O17" s="110">
        <v>1</v>
      </c>
      <c r="P17" s="117">
        <v>1</v>
      </c>
      <c r="Q17" s="90"/>
      <c r="R17" s="91"/>
      <c r="S17" s="123"/>
      <c r="T17" s="125"/>
      <c r="U17" s="103"/>
      <c r="V17" s="104"/>
      <c r="W17" s="125"/>
      <c r="X17" s="114"/>
      <c r="Y17" s="104"/>
      <c r="Z17" s="120"/>
      <c r="AA17" s="114"/>
      <c r="AB17" s="104"/>
      <c r="AD17" s="149"/>
      <c r="AE17" s="150"/>
      <c r="AF17" s="151"/>
      <c r="AG17" s="149"/>
      <c r="AH17" s="150"/>
      <c r="AI17" s="151"/>
      <c r="AJ17" s="146"/>
      <c r="AK17" s="147"/>
      <c r="AL17" s="148"/>
      <c r="AM17" s="146">
        <f t="shared" si="11"/>
        <v>-37.4</v>
      </c>
      <c r="AN17" s="147">
        <f t="shared" si="11"/>
        <v>-37.4</v>
      </c>
      <c r="AO17" s="148">
        <f t="shared" si="11"/>
        <v>-37.4</v>
      </c>
      <c r="AQ17" s="187">
        <f>IF( AD17&lt;&gt;"", ((1000+AD17+5)/1000)*($K17/1000)*(1+#REF!)*#REF!, 0 )</f>
        <v>0</v>
      </c>
      <c r="AR17" s="188">
        <f>IF( AE17&lt;&gt;"", ((1000+AE17+5)/1000)*($K17/1000)*(1+#REF!)*#REF!, 0 )</f>
        <v>0</v>
      </c>
      <c r="AS17" s="189">
        <f>IF( AF17&lt;&gt;"", ((1000+AF17+5)/1000)*($K17/1000)*(1+#REF!)*#REF!, 0 )</f>
        <v>0</v>
      </c>
      <c r="AT17" s="172">
        <f>IF( AG17&lt;&gt;"", ((1000+AG17+5)/1000)*($K17/1000)*(1+#REF!)*#REF!, 0 )</f>
        <v>0</v>
      </c>
      <c r="AU17" s="173">
        <f>IF( AH17&lt;&gt;"", ((1000+AH17+5)/1000)*($K17/1000)*(1+#REF!)*#REF!, 0 )</f>
        <v>0</v>
      </c>
      <c r="AV17" s="174">
        <f>IF( AI17&lt;&gt;"", ((1000+AI17+5)/1000)*($K17/1000)*(1+#REF!)*#REF!, 0 )</f>
        <v>0</v>
      </c>
      <c r="AW17" s="187">
        <f>IF( AJ17&lt;&gt;"", ((1000+AJ17+5)/1000)*($K17/1000)*(1+#REF!)*#REF!, 0 )</f>
        <v>0</v>
      </c>
      <c r="AX17" s="188">
        <f>IF( AK17&lt;&gt;"", ((1000+AK17+5)/1000)*($K17/1000)*(1+#REF!)*#REF!, 0 )</f>
        <v>0</v>
      </c>
      <c r="AY17" s="189">
        <f>IF( AL17&lt;&gt;"", ((1000+AL17+5)/1000)*($K17/1000)*(1+#REF!)*#REF!, 0 )</f>
        <v>0</v>
      </c>
      <c r="AZ17" s="172" t="e">
        <f ca="1">IF( AM17&lt;&gt;"", ((1000+AM17+5)/1000)*($K17/1000)*(1+#REF!)*#REF!, 0 )</f>
        <v>#REF!</v>
      </c>
      <c r="BA17" s="173" t="e">
        <f ca="1">IF( AN17&lt;&gt;"", ((1000+AN17+5)/1000)*($K17/1000)*(1+#REF!)*#REF!, 0 )</f>
        <v>#REF!</v>
      </c>
      <c r="BB17" s="174" t="e">
        <f ca="1">IF( AO17&lt;&gt;"", ((1000+AO17+5)/1000)*($K17/1000)*(1+#REF!)*#REF!, 0 )</f>
        <v>#REF!</v>
      </c>
      <c r="BC17" s="168"/>
      <c r="BD17" s="249"/>
      <c r="BE17" s="238"/>
      <c r="BF17" s="239"/>
      <c r="BG17" s="168"/>
      <c r="BH17" s="172"/>
      <c r="BI17" s="188"/>
      <c r="BJ17" s="188"/>
      <c r="BK17" s="189"/>
      <c r="BL17" s="168"/>
      <c r="BM17" s="197">
        <f>IF(AD17&lt;&gt;"",(MAX(0.12,$L17)*(AD17+5)/1000*(1+#REF!)*#REF!),0)</f>
        <v>0</v>
      </c>
      <c r="BN17" s="198">
        <f>IF(AE17&lt;&gt;"",(MAX(0.12,$L17)*(AE17+5)/1000*(1+#REF!)*#REF!),0)</f>
        <v>0</v>
      </c>
      <c r="BO17" s="199">
        <f>IF(AF17&lt;&gt;"",(MAX(0.12,$L17)*(AF17+5)/1000*(1+#REF!)*#REF!),0)</f>
        <v>0</v>
      </c>
      <c r="BP17" s="178">
        <f>IF(AG17&lt;&gt;"",(MAX(0.12,$L17)*(AG17+5)/1000*(1+#REF!)*#REF!),0)</f>
        <v>0</v>
      </c>
      <c r="BQ17" s="179">
        <f>IF(AH17&lt;&gt;"",(MAX(0.12,$L17)*(AH17+5)/1000*(1+#REF!)*#REF!),0)</f>
        <v>0</v>
      </c>
      <c r="BR17" s="180">
        <f>IF(AI17&lt;&gt;"",(MAX(0.12,$L17)*(AI17+5)/1000*(1+#REF!)*#REF!),0)</f>
        <v>0</v>
      </c>
      <c r="BS17" s="197">
        <f>IF(AJ17&lt;&gt;"",(MAX(0.12,$L17)*(AJ17+5)/1000*(1+#REF!)*#REF!),0)</f>
        <v>0</v>
      </c>
      <c r="BT17" s="198">
        <f>IF(AK17&lt;&gt;"",(MAX(0.12,$L17)*(AK17+5)/1000*(1+#REF!)*#REF!),0)</f>
        <v>0</v>
      </c>
      <c r="BU17" s="199">
        <f>IF(AL17&lt;&gt;"",(MAX(0.12,$L17)*(AL17+5)/1000*(1+#REF!)*#REF!),0)</f>
        <v>0</v>
      </c>
      <c r="BV17" s="178" t="e">
        <f ca="1">IF(AM17&lt;&gt;"",(MAX(0.12,$L17)*(1000+AM17+5)/1000*(1+#REF!)*#REF!),0)</f>
        <v>#REF!</v>
      </c>
      <c r="BW17" s="179" t="e">
        <f ca="1">IF(AN17&lt;&gt;"",(MAX(0.12,$L17)*(1000+AN17+5)/1000*(1+#REF!)*#REF!),0)</f>
        <v>#REF!</v>
      </c>
      <c r="BX17" s="180" t="e">
        <f ca="1">IF(AO17&lt;&gt;"",(MAX(0.12,$L17)*(1000+AO17+5)/1000*(1+#REF!)*#REF!),0)</f>
        <v>#REF!</v>
      </c>
      <c r="BZ17" s="258"/>
      <c r="CA17" s="244"/>
      <c r="CB17" s="245"/>
      <c r="CD17" s="178"/>
      <c r="CE17" s="198"/>
      <c r="CF17" s="198"/>
      <c r="CG17" s="199"/>
      <c r="CI17" s="92"/>
      <c r="CJ17" s="94"/>
      <c r="CK17" s="93"/>
      <c r="CM17" s="203" t="e">
        <f t="shared" ca="1" si="10"/>
        <v>#REF!</v>
      </c>
      <c r="CN17" s="204" t="e">
        <f t="shared" ca="1" si="0"/>
        <v>#REF!</v>
      </c>
      <c r="CO17" s="205" t="e">
        <f t="shared" ca="1" si="0"/>
        <v>#REF!</v>
      </c>
      <c r="CQ17" s="203">
        <f t="shared" si="1"/>
        <v>0</v>
      </c>
      <c r="CR17" s="204">
        <f t="shared" si="2"/>
        <v>0</v>
      </c>
      <c r="CS17" s="205">
        <f t="shared" si="3"/>
        <v>0</v>
      </c>
      <c r="CU17" s="203">
        <f t="shared" si="4"/>
        <v>0</v>
      </c>
      <c r="CV17" s="204">
        <f t="shared" si="5"/>
        <v>0</v>
      </c>
      <c r="CW17" s="205">
        <f t="shared" si="6"/>
        <v>0</v>
      </c>
      <c r="CY17" s="203">
        <f t="shared" si="7"/>
        <v>0</v>
      </c>
      <c r="CZ17" s="204">
        <f t="shared" si="8"/>
        <v>0</v>
      </c>
      <c r="DA17" s="205">
        <f t="shared" si="9"/>
        <v>0</v>
      </c>
      <c r="DB17" s="77"/>
      <c r="DC17" s="77"/>
      <c r="DD17" s="77"/>
      <c r="DE17" s="77"/>
      <c r="DF17" s="77"/>
      <c r="DG17" s="77"/>
      <c r="DH17" s="77"/>
    </row>
    <row r="18" spans="1:112" ht="30" customHeight="1" x14ac:dyDescent="0.2">
      <c r="A18" s="95" t="s">
        <v>48</v>
      </c>
      <c r="B18" s="96" t="s">
        <v>51</v>
      </c>
      <c r="C18" s="97">
        <v>1</v>
      </c>
      <c r="D18" s="89" t="s">
        <v>59</v>
      </c>
      <c r="E18" s="11" t="s">
        <v>14</v>
      </c>
      <c r="F18" s="35" t="e">
        <f ca="1">IF(LEFT(D18,2)="PA",VLOOKUP(D18,INDIRECT(#REF!),5,FALSE),"/")</f>
        <v>#REF!</v>
      </c>
      <c r="G18" s="41" t="str">
        <f ca="1">IF(LEFT(E18,2)="PF",VLOOKUP(E18,INDIRECT(#REF!),5,FALSE),"/")</f>
        <v>/</v>
      </c>
      <c r="H18" s="36" t="str">
        <f ca="1">IF(LEFT(E18,2)="PF",VLOOKUP(E18,INDIRECT(#REF!),6,FALSE),"/")</f>
        <v>/</v>
      </c>
      <c r="I18" s="515"/>
      <c r="J18" s="516"/>
      <c r="K18" s="50" t="e">
        <f ca="1">IF(LEFT(D18,2)="PA",VLOOKUP(D18,INDIRECT(#REF!),3,FALSE),"/")</f>
        <v>#REF!</v>
      </c>
      <c r="L18" s="53" t="e">
        <f ca="1">IF(LEFT(D18,2)="PA",VLOOKUP(D18,INDIRECT(#REF!),4,FALSE),"/")</f>
        <v>#REF!</v>
      </c>
      <c r="M18" s="18"/>
      <c r="N18" s="90">
        <v>1</v>
      </c>
      <c r="O18" s="110">
        <v>1</v>
      </c>
      <c r="P18" s="117">
        <v>1</v>
      </c>
      <c r="Q18" s="90"/>
      <c r="R18" s="91"/>
      <c r="S18" s="123"/>
      <c r="T18" s="125"/>
      <c r="U18" s="103"/>
      <c r="V18" s="104"/>
      <c r="W18" s="125"/>
      <c r="X18" s="114"/>
      <c r="Y18" s="104"/>
      <c r="Z18" s="120"/>
      <c r="AA18" s="114"/>
      <c r="AB18" s="104"/>
      <c r="AD18" s="149"/>
      <c r="AE18" s="150"/>
      <c r="AF18" s="151"/>
      <c r="AG18" s="149"/>
      <c r="AH18" s="150"/>
      <c r="AI18" s="151"/>
      <c r="AJ18" s="146"/>
      <c r="AK18" s="147"/>
      <c r="AL18" s="148"/>
      <c r="AM18" s="146">
        <f t="shared" si="11"/>
        <v>-37.4</v>
      </c>
      <c r="AN18" s="147">
        <f t="shared" si="11"/>
        <v>-37.4</v>
      </c>
      <c r="AO18" s="148">
        <f t="shared" si="11"/>
        <v>-37.4</v>
      </c>
      <c r="AQ18" s="187">
        <f>IF( AD18&lt;&gt;"", ((1000+AD18+5)/1000)*($K18/1000)*(1+#REF!)*#REF!, 0 )</f>
        <v>0</v>
      </c>
      <c r="AR18" s="188">
        <f>IF( AE18&lt;&gt;"", ((1000+AE18+5)/1000)*($K18/1000)*(1+#REF!)*#REF!, 0 )</f>
        <v>0</v>
      </c>
      <c r="AS18" s="189">
        <f>IF( AF18&lt;&gt;"", ((1000+AF18+5)/1000)*($K18/1000)*(1+#REF!)*#REF!, 0 )</f>
        <v>0</v>
      </c>
      <c r="AT18" s="172">
        <f>IF( AG18&lt;&gt;"", ((1000+AG18+5)/1000)*($K18/1000)*(1+#REF!)*#REF!, 0 )</f>
        <v>0</v>
      </c>
      <c r="AU18" s="173">
        <f>IF( AH18&lt;&gt;"", ((1000+AH18+5)/1000)*($K18/1000)*(1+#REF!)*#REF!, 0 )</f>
        <v>0</v>
      </c>
      <c r="AV18" s="174">
        <f>IF( AI18&lt;&gt;"", ((1000+AI18+5)/1000)*($K18/1000)*(1+#REF!)*#REF!, 0 )</f>
        <v>0</v>
      </c>
      <c r="AW18" s="187">
        <f>IF( AJ18&lt;&gt;"", ((1000+AJ18+5)/1000)*($K18/1000)*(1+#REF!)*#REF!, 0 )</f>
        <v>0</v>
      </c>
      <c r="AX18" s="188">
        <f>IF( AK18&lt;&gt;"", ((1000+AK18+5)/1000)*($K18/1000)*(1+#REF!)*#REF!, 0 )</f>
        <v>0</v>
      </c>
      <c r="AY18" s="189">
        <f>IF( AL18&lt;&gt;"", ((1000+AL18+5)/1000)*($K18/1000)*(1+#REF!)*#REF!, 0 )</f>
        <v>0</v>
      </c>
      <c r="AZ18" s="172" t="e">
        <f ca="1">IF( AM18&lt;&gt;"", ((1000+AM18+5)/1000)*($K18/1000)*(1+#REF!)*#REF!, 0 )</f>
        <v>#REF!</v>
      </c>
      <c r="BA18" s="173" t="e">
        <f ca="1">IF( AN18&lt;&gt;"", ((1000+AN18+5)/1000)*($K18/1000)*(1+#REF!)*#REF!, 0 )</f>
        <v>#REF!</v>
      </c>
      <c r="BB18" s="174" t="e">
        <f ca="1">IF( AO18&lt;&gt;"", ((1000+AO18+5)/1000)*($K18/1000)*(1+#REF!)*#REF!, 0 )</f>
        <v>#REF!</v>
      </c>
      <c r="BC18" s="168"/>
      <c r="BD18" s="249"/>
      <c r="BE18" s="238"/>
      <c r="BF18" s="239"/>
      <c r="BG18" s="168"/>
      <c r="BH18" s="172"/>
      <c r="BI18" s="188"/>
      <c r="BJ18" s="188"/>
      <c r="BK18" s="189"/>
      <c r="BL18" s="168"/>
      <c r="BM18" s="197">
        <f>IF(AD18&lt;&gt;"",(MAX(0.12,$L18)*(AD18+5)/1000*(1+#REF!)*#REF!),0)</f>
        <v>0</v>
      </c>
      <c r="BN18" s="198">
        <f>IF(AE18&lt;&gt;"",(MAX(0.12,$L18)*(AE18+5)/1000*(1+#REF!)*#REF!),0)</f>
        <v>0</v>
      </c>
      <c r="BO18" s="199">
        <f>IF(AF18&lt;&gt;"",(MAX(0.12,$L18)*(AF18+5)/1000*(1+#REF!)*#REF!),0)</f>
        <v>0</v>
      </c>
      <c r="BP18" s="178">
        <f>IF(AG18&lt;&gt;"",(MAX(0.12,$L18)*(AG18+5)/1000*(1+#REF!)*#REF!),0)</f>
        <v>0</v>
      </c>
      <c r="BQ18" s="179">
        <f>IF(AH18&lt;&gt;"",(MAX(0.12,$L18)*(AH18+5)/1000*(1+#REF!)*#REF!),0)</f>
        <v>0</v>
      </c>
      <c r="BR18" s="180">
        <f>IF(AI18&lt;&gt;"",(MAX(0.12,$L18)*(AI18+5)/1000*(1+#REF!)*#REF!),0)</f>
        <v>0</v>
      </c>
      <c r="BS18" s="197">
        <f>IF(AJ18&lt;&gt;"",(MAX(0.12,$L18)*(AJ18+5)/1000*(1+#REF!)*#REF!),0)</f>
        <v>0</v>
      </c>
      <c r="BT18" s="198">
        <f>IF(AK18&lt;&gt;"",(MAX(0.12,$L18)*(AK18+5)/1000*(1+#REF!)*#REF!),0)</f>
        <v>0</v>
      </c>
      <c r="BU18" s="199">
        <f>IF(AL18&lt;&gt;"",(MAX(0.12,$L18)*(AL18+5)/1000*(1+#REF!)*#REF!),0)</f>
        <v>0</v>
      </c>
      <c r="BV18" s="178" t="e">
        <f ca="1">IF(AM18&lt;&gt;"",(MAX(0.12,$L18)*(1000+AM18+5)/1000*(1+#REF!)*#REF!),0)</f>
        <v>#REF!</v>
      </c>
      <c r="BW18" s="179" t="e">
        <f ca="1">IF(AN18&lt;&gt;"",(MAX(0.12,$L18)*(1000+AN18+5)/1000*(1+#REF!)*#REF!),0)</f>
        <v>#REF!</v>
      </c>
      <c r="BX18" s="180" t="e">
        <f ca="1">IF(AO18&lt;&gt;"",(MAX(0.12,$L18)*(1000+AO18+5)/1000*(1+#REF!)*#REF!),0)</f>
        <v>#REF!</v>
      </c>
      <c r="BZ18" s="258"/>
      <c r="CA18" s="244"/>
      <c r="CB18" s="245"/>
      <c r="CD18" s="178"/>
      <c r="CE18" s="198"/>
      <c r="CF18" s="198"/>
      <c r="CG18" s="199"/>
      <c r="CI18" s="92"/>
      <c r="CJ18" s="94"/>
      <c r="CK18" s="93"/>
      <c r="CM18" s="203" t="e">
        <f t="shared" ca="1" si="10"/>
        <v>#REF!</v>
      </c>
      <c r="CN18" s="204" t="e">
        <f t="shared" ca="1" si="0"/>
        <v>#REF!</v>
      </c>
      <c r="CO18" s="205" t="e">
        <f t="shared" ca="1" si="0"/>
        <v>#REF!</v>
      </c>
      <c r="CQ18" s="203">
        <f t="shared" si="1"/>
        <v>0</v>
      </c>
      <c r="CR18" s="204">
        <f t="shared" si="2"/>
        <v>0</v>
      </c>
      <c r="CS18" s="205">
        <f t="shared" si="3"/>
        <v>0</v>
      </c>
      <c r="CU18" s="203">
        <f t="shared" si="4"/>
        <v>0</v>
      </c>
      <c r="CV18" s="204">
        <f t="shared" si="5"/>
        <v>0</v>
      </c>
      <c r="CW18" s="205">
        <f t="shared" si="6"/>
        <v>0</v>
      </c>
      <c r="CY18" s="203">
        <f t="shared" si="7"/>
        <v>0</v>
      </c>
      <c r="CZ18" s="204">
        <f t="shared" si="8"/>
        <v>0</v>
      </c>
      <c r="DA18" s="205">
        <f t="shared" si="9"/>
        <v>0</v>
      </c>
    </row>
    <row r="19" spans="1:112" ht="30" customHeight="1" x14ac:dyDescent="0.2">
      <c r="A19" s="130" t="s">
        <v>48</v>
      </c>
      <c r="B19" s="131" t="s">
        <v>52</v>
      </c>
      <c r="C19" s="132">
        <v>1</v>
      </c>
      <c r="D19" s="89" t="s">
        <v>54</v>
      </c>
      <c r="E19" s="11" t="s">
        <v>14</v>
      </c>
      <c r="F19" s="35" t="e">
        <f ca="1">IF(LEFT(D19,2)="PA",VLOOKUP(D19,INDIRECT(#REF!),5,FALSE),"/")</f>
        <v>#REF!</v>
      </c>
      <c r="G19" s="41" t="str">
        <f ca="1">IF(LEFT(E19,2)="PF",VLOOKUP(E19,INDIRECT(#REF!),5,FALSE),"/")</f>
        <v>/</v>
      </c>
      <c r="H19" s="36" t="str">
        <f ca="1">IF(LEFT(E19,2)="PF",VLOOKUP(E19,INDIRECT(#REF!),6,FALSE),"/")</f>
        <v>/</v>
      </c>
      <c r="I19" s="515"/>
      <c r="J19" s="516"/>
      <c r="K19" s="50" t="e">
        <f ca="1">IF(LEFT(D19,2)="PA",VLOOKUP(D19,INDIRECT(#REF!),3,FALSE),"/")</f>
        <v>#REF!</v>
      </c>
      <c r="L19" s="53" t="e">
        <f ca="1">IF(LEFT(D19,2)="PA",VLOOKUP(D19,INDIRECT(#REF!),4,FALSE),"/")</f>
        <v>#REF!</v>
      </c>
      <c r="M19" s="18"/>
      <c r="N19" s="90">
        <v>1</v>
      </c>
      <c r="O19" s="110">
        <v>1</v>
      </c>
      <c r="P19" s="117">
        <v>1</v>
      </c>
      <c r="Q19" s="90"/>
      <c r="R19" s="91"/>
      <c r="S19" s="123"/>
      <c r="T19" s="125"/>
      <c r="U19" s="103"/>
      <c r="V19" s="104"/>
      <c r="W19" s="125"/>
      <c r="X19" s="114"/>
      <c r="Y19" s="104"/>
      <c r="Z19" s="120"/>
      <c r="AA19" s="114"/>
      <c r="AB19" s="104"/>
      <c r="AD19" s="149"/>
      <c r="AE19" s="150"/>
      <c r="AF19" s="151"/>
      <c r="AG19" s="149"/>
      <c r="AH19" s="150"/>
      <c r="AI19" s="151"/>
      <c r="AJ19" s="146"/>
      <c r="AK19" s="147"/>
      <c r="AL19" s="148"/>
      <c r="AM19" s="146">
        <f t="shared" si="11"/>
        <v>-37.4</v>
      </c>
      <c r="AN19" s="147">
        <f t="shared" si="11"/>
        <v>-37.4</v>
      </c>
      <c r="AO19" s="148">
        <f t="shared" si="11"/>
        <v>-37.4</v>
      </c>
      <c r="AQ19" s="187">
        <f>IF( AD19&lt;&gt;"", ((1000+AD19+5)/1000)*($K19/1000)*(1+#REF!)*#REF!, 0 )</f>
        <v>0</v>
      </c>
      <c r="AR19" s="188">
        <f>IF( AE19&lt;&gt;"", ((1000+AE19+5)/1000)*($K19/1000)*(1+#REF!)*#REF!, 0 )</f>
        <v>0</v>
      </c>
      <c r="AS19" s="189">
        <f>IF( AF19&lt;&gt;"", ((1000+AF19+5)/1000)*($K19/1000)*(1+#REF!)*#REF!, 0 )</f>
        <v>0</v>
      </c>
      <c r="AT19" s="172">
        <f>IF( AG19&lt;&gt;"", ((1000+AG19+5)/1000)*($K19/1000)*(1+#REF!)*#REF!, 0 )</f>
        <v>0</v>
      </c>
      <c r="AU19" s="173">
        <f>IF( AH19&lt;&gt;"", ((1000+AH19+5)/1000)*($K19/1000)*(1+#REF!)*#REF!, 0 )</f>
        <v>0</v>
      </c>
      <c r="AV19" s="174">
        <f>IF( AI19&lt;&gt;"", ((1000+AI19+5)/1000)*($K19/1000)*(1+#REF!)*#REF!, 0 )</f>
        <v>0</v>
      </c>
      <c r="AW19" s="187">
        <f>IF( AJ19&lt;&gt;"", ((1000+AJ19+5)/1000)*($K19/1000)*(1+#REF!)*#REF!, 0 )</f>
        <v>0</v>
      </c>
      <c r="AX19" s="188">
        <f>IF( AK19&lt;&gt;"", ((1000+AK19+5)/1000)*($K19/1000)*(1+#REF!)*#REF!, 0 )</f>
        <v>0</v>
      </c>
      <c r="AY19" s="189">
        <f>IF( AL19&lt;&gt;"", ((1000+AL19+5)/1000)*($K19/1000)*(1+#REF!)*#REF!, 0 )</f>
        <v>0</v>
      </c>
      <c r="AZ19" s="172" t="e">
        <f ca="1">IF( AM19&lt;&gt;"", ((1000+AM19+5)/1000)*($K19/1000)*(1+#REF!)*#REF!, 0 )</f>
        <v>#REF!</v>
      </c>
      <c r="BA19" s="173" t="e">
        <f ca="1">IF( AN19&lt;&gt;"", ((1000+AN19+5)/1000)*($K19/1000)*(1+#REF!)*#REF!, 0 )</f>
        <v>#REF!</v>
      </c>
      <c r="BB19" s="174" t="e">
        <f ca="1">IF( AO19&lt;&gt;"", ((1000+AO19+5)/1000)*($K19/1000)*(1+#REF!)*#REF!, 0 )</f>
        <v>#REF!</v>
      </c>
      <c r="BC19" s="168"/>
      <c r="BD19" s="249"/>
      <c r="BE19" s="238"/>
      <c r="BF19" s="239"/>
      <c r="BG19" s="168"/>
      <c r="BH19" s="172"/>
      <c r="BI19" s="188"/>
      <c r="BJ19" s="188"/>
      <c r="BK19" s="189"/>
      <c r="BL19" s="168"/>
      <c r="BM19" s="197">
        <f>IF(AD19&lt;&gt;"",(MAX(0.12,$L19)*(AD19+5)/1000*(1+#REF!)*#REF!),0)</f>
        <v>0</v>
      </c>
      <c r="BN19" s="198">
        <f>IF(AE19&lt;&gt;"",(MAX(0.12,$L19)*(AE19+5)/1000*(1+#REF!)*#REF!),0)</f>
        <v>0</v>
      </c>
      <c r="BO19" s="199">
        <f>IF(AF19&lt;&gt;"",(MAX(0.12,$L19)*(AF19+5)/1000*(1+#REF!)*#REF!),0)</f>
        <v>0</v>
      </c>
      <c r="BP19" s="178">
        <f>IF(AG19&lt;&gt;"",(MAX(0.12,$L19)*(AG19+5)/1000*(1+#REF!)*#REF!),0)</f>
        <v>0</v>
      </c>
      <c r="BQ19" s="179">
        <f>IF(AH19&lt;&gt;"",(MAX(0.12,$L19)*(AH19+5)/1000*(1+#REF!)*#REF!),0)</f>
        <v>0</v>
      </c>
      <c r="BR19" s="180">
        <f>IF(AI19&lt;&gt;"",(MAX(0.12,$L19)*(AI19+5)/1000*(1+#REF!)*#REF!),0)</f>
        <v>0</v>
      </c>
      <c r="BS19" s="197">
        <f>IF(AJ19&lt;&gt;"",(MAX(0.12,$L19)*(AJ19+5)/1000*(1+#REF!)*#REF!),0)</f>
        <v>0</v>
      </c>
      <c r="BT19" s="198">
        <f>IF(AK19&lt;&gt;"",(MAX(0.12,$L19)*(AK19+5)/1000*(1+#REF!)*#REF!),0)</f>
        <v>0</v>
      </c>
      <c r="BU19" s="199">
        <f>IF(AL19&lt;&gt;"",(MAX(0.12,$L19)*(AL19+5)/1000*(1+#REF!)*#REF!),0)</f>
        <v>0</v>
      </c>
      <c r="BV19" s="178" t="e">
        <f ca="1">IF(AM19&lt;&gt;"",(MAX(0.12,$L19)*(1000+AM19+5)/1000*(1+#REF!)*#REF!),0)</f>
        <v>#REF!</v>
      </c>
      <c r="BW19" s="179" t="e">
        <f ca="1">IF(AN19&lt;&gt;"",(MAX(0.12,$L19)*(1000+AN19+5)/1000*(1+#REF!)*#REF!),0)</f>
        <v>#REF!</v>
      </c>
      <c r="BX19" s="180" t="e">
        <f ca="1">IF(AO19&lt;&gt;"",(MAX(0.12,$L19)*(1000+AO19+5)/1000*(1+#REF!)*#REF!),0)</f>
        <v>#REF!</v>
      </c>
      <c r="BZ19" s="258"/>
      <c r="CA19" s="244"/>
      <c r="CB19" s="245"/>
      <c r="CD19" s="178"/>
      <c r="CE19" s="198"/>
      <c r="CF19" s="198"/>
      <c r="CG19" s="199"/>
      <c r="CI19" s="92"/>
      <c r="CJ19" s="94"/>
      <c r="CK19" s="93"/>
      <c r="CM19" s="203" t="e">
        <f t="shared" ca="1" si="10"/>
        <v>#REF!</v>
      </c>
      <c r="CN19" s="204" t="e">
        <f t="shared" ca="1" si="0"/>
        <v>#REF!</v>
      </c>
      <c r="CO19" s="205" t="e">
        <f t="shared" ca="1" si="0"/>
        <v>#REF!</v>
      </c>
      <c r="CQ19" s="203">
        <f t="shared" si="1"/>
        <v>0</v>
      </c>
      <c r="CR19" s="204">
        <f t="shared" si="2"/>
        <v>0</v>
      </c>
      <c r="CS19" s="205">
        <f t="shared" si="3"/>
        <v>0</v>
      </c>
      <c r="CU19" s="203">
        <f t="shared" si="4"/>
        <v>0</v>
      </c>
      <c r="CV19" s="204">
        <f t="shared" si="5"/>
        <v>0</v>
      </c>
      <c r="CW19" s="205">
        <f t="shared" si="6"/>
        <v>0</v>
      </c>
      <c r="CY19" s="203">
        <f t="shared" si="7"/>
        <v>0</v>
      </c>
      <c r="CZ19" s="204">
        <f t="shared" si="8"/>
        <v>0</v>
      </c>
      <c r="DA19" s="205">
        <f t="shared" si="9"/>
        <v>0</v>
      </c>
    </row>
    <row r="20" spans="1:112" ht="30" customHeight="1" x14ac:dyDescent="0.2">
      <c r="A20" s="133" t="s">
        <v>48</v>
      </c>
      <c r="B20" s="134" t="s">
        <v>71</v>
      </c>
      <c r="C20" s="135">
        <v>1</v>
      </c>
      <c r="D20" s="89" t="s">
        <v>64</v>
      </c>
      <c r="E20" s="11" t="s">
        <v>14</v>
      </c>
      <c r="F20" s="35" t="e">
        <f ca="1">IF(LEFT(D20,2)="PA",VLOOKUP(D20,INDIRECT(#REF!),5,FALSE),"/")</f>
        <v>#REF!</v>
      </c>
      <c r="G20" s="41" t="str">
        <f ca="1">IF(LEFT(E20,2)="PF",VLOOKUP(E20,INDIRECT(#REF!),5,FALSE),"/")</f>
        <v>/</v>
      </c>
      <c r="H20" s="36" t="str">
        <f ca="1">IF(LEFT(E20,2)="PF",VLOOKUP(E20,INDIRECT(#REF!),6,FALSE),"/")</f>
        <v>/</v>
      </c>
      <c r="I20" s="515"/>
      <c r="J20" s="516"/>
      <c r="K20" s="50" t="e">
        <f ca="1">IF(LEFT(D20,2)="PA",VLOOKUP(D20,INDIRECT(#REF!),3,FALSE),"/")</f>
        <v>#REF!</v>
      </c>
      <c r="L20" s="53" t="e">
        <f ca="1">IF(LEFT(D20,2)="PA",VLOOKUP(D20,INDIRECT(#REF!),4,FALSE),"/")</f>
        <v>#REF!</v>
      </c>
      <c r="M20" s="18"/>
      <c r="N20" s="90">
        <v>1</v>
      </c>
      <c r="O20" s="110">
        <v>1</v>
      </c>
      <c r="P20" s="117">
        <v>1</v>
      </c>
      <c r="Q20" s="90"/>
      <c r="R20" s="91"/>
      <c r="S20" s="123"/>
      <c r="T20" s="125"/>
      <c r="U20" s="103"/>
      <c r="V20" s="104"/>
      <c r="W20" s="125"/>
      <c r="X20" s="114"/>
      <c r="Y20" s="104"/>
      <c r="Z20" s="120"/>
      <c r="AA20" s="114"/>
      <c r="AB20" s="104"/>
      <c r="AD20" s="149"/>
      <c r="AE20" s="150"/>
      <c r="AF20" s="151"/>
      <c r="AG20" s="149"/>
      <c r="AH20" s="150"/>
      <c r="AI20" s="151"/>
      <c r="AJ20" s="146"/>
      <c r="AK20" s="147"/>
      <c r="AL20" s="148"/>
      <c r="AM20" s="146">
        <f t="shared" si="11"/>
        <v>-37.4</v>
      </c>
      <c r="AN20" s="147">
        <f t="shared" si="11"/>
        <v>-37.4</v>
      </c>
      <c r="AO20" s="148">
        <f t="shared" si="11"/>
        <v>-37.4</v>
      </c>
      <c r="AQ20" s="187">
        <f>IF( AD20&lt;&gt;"", ((1000+AD20+5)/1000)*($K20/1000)*(1+#REF!)*#REF!, 0 )</f>
        <v>0</v>
      </c>
      <c r="AR20" s="188">
        <f>IF( AE20&lt;&gt;"", ((1000+AE20+5)/1000)*($K20/1000)*(1+#REF!)*#REF!, 0 )</f>
        <v>0</v>
      </c>
      <c r="AS20" s="189">
        <f>IF( AF20&lt;&gt;"", ((1000+AF20+5)/1000)*($K20/1000)*(1+#REF!)*#REF!, 0 )</f>
        <v>0</v>
      </c>
      <c r="AT20" s="172">
        <f>IF( AG20&lt;&gt;"", ((1000+AG20+5)/1000)*($K20/1000)*(1+#REF!)*#REF!, 0 )</f>
        <v>0</v>
      </c>
      <c r="AU20" s="173">
        <f>IF( AH20&lt;&gt;"", ((1000+AH20+5)/1000)*($K20/1000)*(1+#REF!)*#REF!, 0 )</f>
        <v>0</v>
      </c>
      <c r="AV20" s="174">
        <f>IF( AI20&lt;&gt;"", ((1000+AI20+5)/1000)*($K20/1000)*(1+#REF!)*#REF!, 0 )</f>
        <v>0</v>
      </c>
      <c r="AW20" s="187">
        <f>IF( AJ20&lt;&gt;"", ((1000+AJ20+5)/1000)*($K20/1000)*(1+#REF!)*#REF!, 0 )</f>
        <v>0</v>
      </c>
      <c r="AX20" s="188">
        <f>IF( AK20&lt;&gt;"", ((1000+AK20+5)/1000)*($K20/1000)*(1+#REF!)*#REF!, 0 )</f>
        <v>0</v>
      </c>
      <c r="AY20" s="189">
        <f>IF( AL20&lt;&gt;"", ((1000+AL20+5)/1000)*($K20/1000)*(1+#REF!)*#REF!, 0 )</f>
        <v>0</v>
      </c>
      <c r="AZ20" s="172" t="e">
        <f ca="1">IF( AM20&lt;&gt;"", ((1000+AM20+5)/1000)*($K20/1000)*(1+#REF!)*#REF!, 0 )</f>
        <v>#REF!</v>
      </c>
      <c r="BA20" s="173" t="e">
        <f ca="1">IF( AN20&lt;&gt;"", ((1000+AN20+5)/1000)*($K20/1000)*(1+#REF!)*#REF!, 0 )</f>
        <v>#REF!</v>
      </c>
      <c r="BB20" s="174" t="e">
        <f ca="1">IF( AO20&lt;&gt;"", ((1000+AO20+5)/1000)*($K20/1000)*(1+#REF!)*#REF!, 0 )</f>
        <v>#REF!</v>
      </c>
      <c r="BC20" s="168"/>
      <c r="BD20" s="249"/>
      <c r="BE20" s="238"/>
      <c r="BF20" s="239"/>
      <c r="BG20" s="168"/>
      <c r="BH20" s="172"/>
      <c r="BI20" s="188"/>
      <c r="BJ20" s="188"/>
      <c r="BK20" s="189"/>
      <c r="BL20" s="168"/>
      <c r="BM20" s="197">
        <f>IF(AD20&lt;&gt;"",(MAX(0.12,$L20)*(AD20+5)/1000*(1+#REF!)*#REF!),0)</f>
        <v>0</v>
      </c>
      <c r="BN20" s="198">
        <f>IF(AE20&lt;&gt;"",(MAX(0.12,$L20)*(AE20+5)/1000*(1+#REF!)*#REF!),0)</f>
        <v>0</v>
      </c>
      <c r="BO20" s="199">
        <f>IF(AF20&lt;&gt;"",(MAX(0.12,$L20)*(AF20+5)/1000*(1+#REF!)*#REF!),0)</f>
        <v>0</v>
      </c>
      <c r="BP20" s="178">
        <f>IF(AG20&lt;&gt;"",(MAX(0.12,$L20)*(AG20+5)/1000*(1+#REF!)*#REF!),0)</f>
        <v>0</v>
      </c>
      <c r="BQ20" s="179">
        <f>IF(AH20&lt;&gt;"",(MAX(0.12,$L20)*(AH20+5)/1000*(1+#REF!)*#REF!),0)</f>
        <v>0</v>
      </c>
      <c r="BR20" s="180">
        <f>IF(AI20&lt;&gt;"",(MAX(0.12,$L20)*(AI20+5)/1000*(1+#REF!)*#REF!),0)</f>
        <v>0</v>
      </c>
      <c r="BS20" s="197">
        <f>IF(AJ20&lt;&gt;"",(MAX(0.12,$L20)*(AJ20+5)/1000*(1+#REF!)*#REF!),0)</f>
        <v>0</v>
      </c>
      <c r="BT20" s="198">
        <f>IF(AK20&lt;&gt;"",(MAX(0.12,$L20)*(AK20+5)/1000*(1+#REF!)*#REF!),0)</f>
        <v>0</v>
      </c>
      <c r="BU20" s="199">
        <f>IF(AL20&lt;&gt;"",(MAX(0.12,$L20)*(AL20+5)/1000*(1+#REF!)*#REF!),0)</f>
        <v>0</v>
      </c>
      <c r="BV20" s="178" t="e">
        <f ca="1">IF(AM20&lt;&gt;"",(MAX(0.12,$L20)*(1000+AM20+5)/1000*(1+#REF!)*#REF!),0)</f>
        <v>#REF!</v>
      </c>
      <c r="BW20" s="179" t="e">
        <f ca="1">IF(AN20&lt;&gt;"",(MAX(0.12,$L20)*(1000+AN20+5)/1000*(1+#REF!)*#REF!),0)</f>
        <v>#REF!</v>
      </c>
      <c r="BX20" s="180" t="e">
        <f ca="1">IF(AO20&lt;&gt;"",(MAX(0.12,$L20)*(1000+AO20+5)/1000*(1+#REF!)*#REF!),0)</f>
        <v>#REF!</v>
      </c>
      <c r="BZ20" s="258"/>
      <c r="CA20" s="244"/>
      <c r="CB20" s="245"/>
      <c r="CD20" s="178"/>
      <c r="CE20" s="198"/>
      <c r="CF20" s="198"/>
      <c r="CG20" s="199"/>
      <c r="CI20" s="92"/>
      <c r="CJ20" s="94"/>
      <c r="CK20" s="93"/>
      <c r="CM20" s="203" t="e">
        <f t="shared" ca="1" si="10"/>
        <v>#REF!</v>
      </c>
      <c r="CN20" s="204" t="e">
        <f t="shared" ca="1" si="0"/>
        <v>#REF!</v>
      </c>
      <c r="CO20" s="205" t="e">
        <f t="shared" ca="1" si="0"/>
        <v>#REF!</v>
      </c>
      <c r="CQ20" s="203">
        <f t="shared" si="1"/>
        <v>0</v>
      </c>
      <c r="CR20" s="204">
        <f t="shared" si="2"/>
        <v>0</v>
      </c>
      <c r="CS20" s="205">
        <f t="shared" si="3"/>
        <v>0</v>
      </c>
      <c r="CU20" s="203">
        <f t="shared" si="4"/>
        <v>0</v>
      </c>
      <c r="CV20" s="204">
        <f t="shared" si="5"/>
        <v>0</v>
      </c>
      <c r="CW20" s="205">
        <f t="shared" si="6"/>
        <v>0</v>
      </c>
      <c r="CY20" s="203">
        <f t="shared" si="7"/>
        <v>0</v>
      </c>
      <c r="CZ20" s="204">
        <f t="shared" si="8"/>
        <v>0</v>
      </c>
      <c r="DA20" s="205">
        <f t="shared" si="9"/>
        <v>0</v>
      </c>
    </row>
    <row r="21" spans="1:112" ht="30" customHeight="1" x14ac:dyDescent="0.2">
      <c r="A21" s="133" t="s">
        <v>48</v>
      </c>
      <c r="B21" s="134" t="s">
        <v>72</v>
      </c>
      <c r="C21" s="135">
        <v>1</v>
      </c>
      <c r="D21" s="89" t="s">
        <v>63</v>
      </c>
      <c r="E21" s="11" t="s">
        <v>14</v>
      </c>
      <c r="F21" s="35" t="e">
        <f ca="1">IF(LEFT(D21,2)="PA",VLOOKUP(D21,INDIRECT(#REF!),5,FALSE),"/")</f>
        <v>#REF!</v>
      </c>
      <c r="G21" s="41" t="str">
        <f ca="1">IF(LEFT(E21,2)="PF",VLOOKUP(E21,INDIRECT(#REF!),5,FALSE),"/")</f>
        <v>/</v>
      </c>
      <c r="H21" s="36" t="str">
        <f ca="1">IF(LEFT(E21,2)="PF",VLOOKUP(E21,INDIRECT(#REF!),6,FALSE),"/")</f>
        <v>/</v>
      </c>
      <c r="I21" s="515"/>
      <c r="J21" s="516"/>
      <c r="K21" s="50" t="e">
        <f ca="1">IF(LEFT(D21,2)="PA",VLOOKUP(D21,INDIRECT(#REF!),3,FALSE),"/")</f>
        <v>#REF!</v>
      </c>
      <c r="L21" s="53" t="e">
        <f ca="1">IF(LEFT(D21,2)="PA",VLOOKUP(D21,INDIRECT(#REF!),4,FALSE),"/")</f>
        <v>#REF!</v>
      </c>
      <c r="M21" s="18"/>
      <c r="N21" s="90">
        <v>1</v>
      </c>
      <c r="O21" s="110">
        <v>1</v>
      </c>
      <c r="P21" s="117">
        <v>1</v>
      </c>
      <c r="Q21" s="90"/>
      <c r="R21" s="91"/>
      <c r="S21" s="123"/>
      <c r="T21" s="125"/>
      <c r="U21" s="103"/>
      <c r="V21" s="104"/>
      <c r="W21" s="125"/>
      <c r="X21" s="114"/>
      <c r="Y21" s="104"/>
      <c r="Z21" s="120"/>
      <c r="AA21" s="114"/>
      <c r="AB21" s="104"/>
      <c r="AD21" s="149"/>
      <c r="AE21" s="150"/>
      <c r="AF21" s="151"/>
      <c r="AG21" s="149"/>
      <c r="AH21" s="150"/>
      <c r="AI21" s="151"/>
      <c r="AJ21" s="146"/>
      <c r="AK21" s="147"/>
      <c r="AL21" s="148"/>
      <c r="AM21" s="146">
        <f t="shared" si="11"/>
        <v>-37.4</v>
      </c>
      <c r="AN21" s="147">
        <f t="shared" si="11"/>
        <v>-37.4</v>
      </c>
      <c r="AO21" s="148">
        <f t="shared" si="11"/>
        <v>-37.4</v>
      </c>
      <c r="AQ21" s="187">
        <f>IF( AD21&lt;&gt;"", ((1000+AD21+5)/1000)*($K21/1000)*(1+#REF!)*#REF!, 0 )</f>
        <v>0</v>
      </c>
      <c r="AR21" s="188">
        <f>IF( AE21&lt;&gt;"", ((1000+AE21+5)/1000)*($K21/1000)*(1+#REF!)*#REF!, 0 )</f>
        <v>0</v>
      </c>
      <c r="AS21" s="189">
        <f>IF( AF21&lt;&gt;"", ((1000+AF21+5)/1000)*($K21/1000)*(1+#REF!)*#REF!, 0 )</f>
        <v>0</v>
      </c>
      <c r="AT21" s="172">
        <f>IF( AG21&lt;&gt;"", ((1000+AG21+5)/1000)*($K21/1000)*(1+#REF!)*#REF!, 0 )</f>
        <v>0</v>
      </c>
      <c r="AU21" s="173">
        <f>IF( AH21&lt;&gt;"", ((1000+AH21+5)/1000)*($K21/1000)*(1+#REF!)*#REF!, 0 )</f>
        <v>0</v>
      </c>
      <c r="AV21" s="174">
        <f>IF( AI21&lt;&gt;"", ((1000+AI21+5)/1000)*($K21/1000)*(1+#REF!)*#REF!, 0 )</f>
        <v>0</v>
      </c>
      <c r="AW21" s="187">
        <f>IF( AJ21&lt;&gt;"", ((1000+AJ21+5)/1000)*($K21/1000)*(1+#REF!)*#REF!, 0 )</f>
        <v>0</v>
      </c>
      <c r="AX21" s="188">
        <f>IF( AK21&lt;&gt;"", ((1000+AK21+5)/1000)*($K21/1000)*(1+#REF!)*#REF!, 0 )</f>
        <v>0</v>
      </c>
      <c r="AY21" s="189">
        <f>IF( AL21&lt;&gt;"", ((1000+AL21+5)/1000)*($K21/1000)*(1+#REF!)*#REF!, 0 )</f>
        <v>0</v>
      </c>
      <c r="AZ21" s="172" t="e">
        <f ca="1">IF( AM21&lt;&gt;"", ((1000+AM21+5)/1000)*($K21/1000)*(1+#REF!)*#REF!, 0 )</f>
        <v>#REF!</v>
      </c>
      <c r="BA21" s="173" t="e">
        <f ca="1">IF( AN21&lt;&gt;"", ((1000+AN21+5)/1000)*($K21/1000)*(1+#REF!)*#REF!, 0 )</f>
        <v>#REF!</v>
      </c>
      <c r="BB21" s="174" t="e">
        <f ca="1">IF( AO21&lt;&gt;"", ((1000+AO21+5)/1000)*($K21/1000)*(1+#REF!)*#REF!, 0 )</f>
        <v>#REF!</v>
      </c>
      <c r="BC21" s="168"/>
      <c r="BD21" s="249"/>
      <c r="BE21" s="238"/>
      <c r="BF21" s="239"/>
      <c r="BG21" s="168"/>
      <c r="BH21" s="172"/>
      <c r="BI21" s="188"/>
      <c r="BJ21" s="188"/>
      <c r="BK21" s="189"/>
      <c r="BL21" s="168"/>
      <c r="BM21" s="197">
        <f>IF(AD21&lt;&gt;"",(MAX(0.12,$L21)*(AD21+5)/1000*(1+#REF!)*#REF!),0)</f>
        <v>0</v>
      </c>
      <c r="BN21" s="198">
        <f>IF(AE21&lt;&gt;"",(MAX(0.12,$L21)*(AE21+5)/1000*(1+#REF!)*#REF!),0)</f>
        <v>0</v>
      </c>
      <c r="BO21" s="199">
        <f>IF(AF21&lt;&gt;"",(MAX(0.12,$L21)*(AF21+5)/1000*(1+#REF!)*#REF!),0)</f>
        <v>0</v>
      </c>
      <c r="BP21" s="178">
        <f>IF(AG21&lt;&gt;"",(MAX(0.12,$L21)*(AG21+5)/1000*(1+#REF!)*#REF!),0)</f>
        <v>0</v>
      </c>
      <c r="BQ21" s="179">
        <f>IF(AH21&lt;&gt;"",(MAX(0.12,$L21)*(AH21+5)/1000*(1+#REF!)*#REF!),0)</f>
        <v>0</v>
      </c>
      <c r="BR21" s="180">
        <f>IF(AI21&lt;&gt;"",(MAX(0.12,$L21)*(AI21+5)/1000*(1+#REF!)*#REF!),0)</f>
        <v>0</v>
      </c>
      <c r="BS21" s="197">
        <f>IF(AJ21&lt;&gt;"",(MAX(0.12,$L21)*(AJ21+5)/1000*(1+#REF!)*#REF!),0)</f>
        <v>0</v>
      </c>
      <c r="BT21" s="198">
        <f>IF(AK21&lt;&gt;"",(MAX(0.12,$L21)*(AK21+5)/1000*(1+#REF!)*#REF!),0)</f>
        <v>0</v>
      </c>
      <c r="BU21" s="199">
        <f>IF(AL21&lt;&gt;"",(MAX(0.12,$L21)*(AL21+5)/1000*(1+#REF!)*#REF!),0)</f>
        <v>0</v>
      </c>
      <c r="BV21" s="178" t="e">
        <f ca="1">IF(AM21&lt;&gt;"",(MAX(0.12,$L21)*(1000+AM21+5)/1000*(1+#REF!)*#REF!),0)</f>
        <v>#REF!</v>
      </c>
      <c r="BW21" s="179" t="e">
        <f ca="1">IF(AN21&lt;&gt;"",(MAX(0.12,$L21)*(1000+AN21+5)/1000*(1+#REF!)*#REF!),0)</f>
        <v>#REF!</v>
      </c>
      <c r="BX21" s="180" t="e">
        <f ca="1">IF(AO21&lt;&gt;"",(MAX(0.12,$L21)*(1000+AO21+5)/1000*(1+#REF!)*#REF!),0)</f>
        <v>#REF!</v>
      </c>
      <c r="BZ21" s="258"/>
      <c r="CA21" s="244"/>
      <c r="CB21" s="245"/>
      <c r="CD21" s="178"/>
      <c r="CE21" s="198"/>
      <c r="CF21" s="198"/>
      <c r="CG21" s="199"/>
      <c r="CI21" s="92"/>
      <c r="CJ21" s="94"/>
      <c r="CK21" s="93"/>
      <c r="CM21" s="203" t="e">
        <f t="shared" ca="1" si="10"/>
        <v>#REF!</v>
      </c>
      <c r="CN21" s="204" t="e">
        <f t="shared" ca="1" si="0"/>
        <v>#REF!</v>
      </c>
      <c r="CO21" s="205" t="e">
        <f t="shared" ca="1" si="0"/>
        <v>#REF!</v>
      </c>
      <c r="CQ21" s="203">
        <f t="shared" si="1"/>
        <v>0</v>
      </c>
      <c r="CR21" s="204">
        <f t="shared" si="2"/>
        <v>0</v>
      </c>
      <c r="CS21" s="205">
        <f t="shared" si="3"/>
        <v>0</v>
      </c>
      <c r="CU21" s="203">
        <f t="shared" si="4"/>
        <v>0</v>
      </c>
      <c r="CV21" s="204">
        <f t="shared" si="5"/>
        <v>0</v>
      </c>
      <c r="CW21" s="205">
        <f t="shared" si="6"/>
        <v>0</v>
      </c>
      <c r="CY21" s="203">
        <f t="shared" si="7"/>
        <v>0</v>
      </c>
      <c r="CZ21" s="204">
        <f t="shared" si="8"/>
        <v>0</v>
      </c>
      <c r="DA21" s="205">
        <f t="shared" si="9"/>
        <v>0</v>
      </c>
    </row>
    <row r="22" spans="1:112" ht="30" customHeight="1" x14ac:dyDescent="0.2">
      <c r="A22" s="133" t="s">
        <v>48</v>
      </c>
      <c r="B22" s="134" t="s">
        <v>87</v>
      </c>
      <c r="C22" s="135">
        <v>1</v>
      </c>
      <c r="D22" s="89" t="s">
        <v>64</v>
      </c>
      <c r="E22" s="11" t="s">
        <v>14</v>
      </c>
      <c r="F22" s="35" t="e">
        <f ca="1">IF(LEFT(D22,2)="PA",VLOOKUP(D22,INDIRECT(#REF!),5,FALSE),"/")</f>
        <v>#REF!</v>
      </c>
      <c r="G22" s="41" t="str">
        <f ca="1">IF(LEFT(E22,2)="PF",VLOOKUP(E22,INDIRECT(#REF!),5,FALSE),"/")</f>
        <v>/</v>
      </c>
      <c r="H22" s="36" t="str">
        <f ca="1">IF(LEFT(E22,2)="PF",VLOOKUP(E22,INDIRECT(#REF!),6,FALSE),"/")</f>
        <v>/</v>
      </c>
      <c r="I22" s="515"/>
      <c r="J22" s="516"/>
      <c r="K22" s="50" t="e">
        <f ca="1">IF(LEFT(D22,2)="PA",VLOOKUP(D22,INDIRECT(#REF!),3,FALSE),"/")</f>
        <v>#REF!</v>
      </c>
      <c r="L22" s="53" t="e">
        <f ca="1">IF(LEFT(D22,2)="PA",VLOOKUP(D22,INDIRECT(#REF!),4,FALSE),"/")</f>
        <v>#REF!</v>
      </c>
      <c r="M22" s="18"/>
      <c r="N22" s="90"/>
      <c r="O22" s="110"/>
      <c r="P22" s="117"/>
      <c r="Q22" s="90">
        <v>2</v>
      </c>
      <c r="R22" s="91">
        <v>2</v>
      </c>
      <c r="S22" s="123">
        <v>2</v>
      </c>
      <c r="T22" s="125">
        <v>1</v>
      </c>
      <c r="U22" s="103">
        <v>1</v>
      </c>
      <c r="V22" s="104">
        <v>1</v>
      </c>
      <c r="W22" s="127">
        <v>3</v>
      </c>
      <c r="X22" s="115">
        <v>3</v>
      </c>
      <c r="Y22" s="128">
        <v>3</v>
      </c>
      <c r="Z22" s="121"/>
      <c r="AA22" s="115"/>
      <c r="AB22" s="104"/>
      <c r="AD22" s="149">
        <v>400</v>
      </c>
      <c r="AE22" s="150">
        <v>400</v>
      </c>
      <c r="AF22" s="151">
        <v>400</v>
      </c>
      <c r="AG22" s="149"/>
      <c r="AH22" s="150"/>
      <c r="AI22" s="151"/>
      <c r="AJ22" s="146"/>
      <c r="AK22" s="147"/>
      <c r="AL22" s="148"/>
      <c r="AM22" s="146"/>
      <c r="AN22" s="147"/>
      <c r="AO22" s="148"/>
      <c r="AQ22" s="187" t="e">
        <f ca="1">IF( AD22&lt;&gt;"", ((1000+AD22+5)/1000)*($K22/1000)*(1+#REF!)*#REF!, 0 )</f>
        <v>#REF!</v>
      </c>
      <c r="AR22" s="188" t="e">
        <f ca="1">IF( AE22&lt;&gt;"", ((1000+AE22+5)/1000)*($K22/1000)*(1+#REF!)*#REF!, 0 )</f>
        <v>#REF!</v>
      </c>
      <c r="AS22" s="189" t="e">
        <f ca="1">IF( AF22&lt;&gt;"", ((1000+AF22+5)/1000)*($K22/1000)*(1+#REF!)*#REF!, 0 )</f>
        <v>#REF!</v>
      </c>
      <c r="AT22" s="172">
        <f>IF( AG22&lt;&gt;"", ((1000+AG22+5)/1000)*($K22/1000)*(1+#REF!)*#REF!, 0 )</f>
        <v>0</v>
      </c>
      <c r="AU22" s="173">
        <f>IF( AH22&lt;&gt;"", ((1000+AH22+5)/1000)*($K22/1000)*(1+#REF!)*#REF!, 0 )</f>
        <v>0</v>
      </c>
      <c r="AV22" s="174">
        <f>IF( AI22&lt;&gt;"", ((1000+AI22+5)/1000)*($K22/1000)*(1+#REF!)*#REF!, 0 )</f>
        <v>0</v>
      </c>
      <c r="AW22" s="187">
        <f>IF( AJ22&lt;&gt;"", ((1000+AJ22+5)/1000)*($K22/1000)*(1+#REF!)*#REF!, 0 )</f>
        <v>0</v>
      </c>
      <c r="AX22" s="188">
        <f>IF( AK22&lt;&gt;"", ((1000+AK22+5)/1000)*($K22/1000)*(1+#REF!)*#REF!, 0 )</f>
        <v>0</v>
      </c>
      <c r="AY22" s="189">
        <f>IF( AL22&lt;&gt;"", ((1000+AL22+5)/1000)*($K22/1000)*(1+#REF!)*#REF!, 0 )</f>
        <v>0</v>
      </c>
      <c r="AZ22" s="172">
        <f>IF( AM22&lt;&gt;"", ((1000+AM22+5)/1000)*($K22/1000)*(1+#REF!)*#REF!, 0 )</f>
        <v>0</v>
      </c>
      <c r="BA22" s="173">
        <f>IF( AN22&lt;&gt;"", ((1000+AN22+5)/1000)*($K22/1000)*(1+#REF!)*#REF!, 0 )</f>
        <v>0</v>
      </c>
      <c r="BB22" s="174">
        <f>IF( AO22&lt;&gt;"", ((1000+AO22+5)/1000)*($K22/1000)*(1+#REF!)*#REF!, 0 )</f>
        <v>0</v>
      </c>
      <c r="BC22" s="168"/>
      <c r="BD22" s="249"/>
      <c r="BE22" s="238"/>
      <c r="BF22" s="239"/>
      <c r="BG22" s="168"/>
      <c r="BH22" s="172"/>
      <c r="BI22" s="188"/>
      <c r="BJ22" s="188"/>
      <c r="BK22" s="189"/>
      <c r="BL22" s="168"/>
      <c r="BM22" s="197" t="e">
        <f ca="1">IF(AD22&lt;&gt;"",(MAX(0.12,$L22)*(AD22+5)/1000*(1+#REF!)*#REF!),0)</f>
        <v>#REF!</v>
      </c>
      <c r="BN22" s="198" t="e">
        <f ca="1">IF(AE22&lt;&gt;"",(MAX(0.12,$L22)*(AE22+5)/1000*(1+#REF!)*#REF!),0)</f>
        <v>#REF!</v>
      </c>
      <c r="BO22" s="199" t="e">
        <f ca="1">IF(AF22&lt;&gt;"",(MAX(0.12,$L22)*(AF22+5)/1000*(1+#REF!)*#REF!),0)</f>
        <v>#REF!</v>
      </c>
      <c r="BP22" s="178">
        <f>IF(AG22&lt;&gt;"",(MAX(0.12,$L22)*(AG22+5)/1000*(1+#REF!)*#REF!),0)</f>
        <v>0</v>
      </c>
      <c r="BQ22" s="179">
        <f>IF(AH22&lt;&gt;"",(MAX(0.12,$L22)*(AH22+5)/1000*(1+#REF!)*#REF!),0)</f>
        <v>0</v>
      </c>
      <c r="BR22" s="180">
        <f>IF(AI22&lt;&gt;"",(MAX(0.12,$L22)*(AI22+5)/1000*(1+#REF!)*#REF!),0)</f>
        <v>0</v>
      </c>
      <c r="BS22" s="197">
        <f>IF(AJ22&lt;&gt;"",(MAX(0.12,$L22)*(AJ22+5)/1000*(1+#REF!)*#REF!),0)</f>
        <v>0</v>
      </c>
      <c r="BT22" s="198">
        <f>IF(AK22&lt;&gt;"",(MAX(0.12,$L22)*(AK22+5)/1000*(1+#REF!)*#REF!),0)</f>
        <v>0</v>
      </c>
      <c r="BU22" s="199">
        <f>IF(AL22&lt;&gt;"",(MAX(0.12,$L22)*(AL22+5)/1000*(1+#REF!)*#REF!),0)</f>
        <v>0</v>
      </c>
      <c r="BV22" s="178">
        <f>IF(AM22&lt;&gt;"",(MAX(0.12,$L22)*(AM22+5)/1000*(1+#REF!)*#REF!),0)</f>
        <v>0</v>
      </c>
      <c r="BW22" s="179">
        <f>IF(AN22&lt;&gt;"",(MAX(0.12,$L22)*(AN22+5)/1000*(1+#REF!)*#REF!),0)</f>
        <v>0</v>
      </c>
      <c r="BX22" s="180">
        <f>IF(AO22&lt;&gt;"",(MAX(0.12,$L22)*(AO22+5)/1000*(1+#REF!)*#REF!),0)</f>
        <v>0</v>
      </c>
      <c r="BZ22" s="258"/>
      <c r="CA22" s="244"/>
      <c r="CB22" s="245"/>
      <c r="CD22" s="178"/>
      <c r="CE22" s="198"/>
      <c r="CF22" s="198"/>
      <c r="CG22" s="199"/>
      <c r="CI22" s="92"/>
      <c r="CJ22" s="94"/>
      <c r="CK22" s="93"/>
      <c r="CM22" s="203">
        <f t="shared" si="10"/>
        <v>0</v>
      </c>
      <c r="CN22" s="204">
        <f t="shared" si="0"/>
        <v>0</v>
      </c>
      <c r="CO22" s="205">
        <f t="shared" si="0"/>
        <v>0</v>
      </c>
      <c r="CQ22" s="203" t="e">
        <f t="shared" ca="1" si="1"/>
        <v>#REF!</v>
      </c>
      <c r="CR22" s="204" t="e">
        <f t="shared" ca="1" si="2"/>
        <v>#REF!</v>
      </c>
      <c r="CS22" s="205" t="e">
        <f t="shared" ca="1" si="3"/>
        <v>#REF!</v>
      </c>
      <c r="CU22" s="203" t="e">
        <f t="shared" ca="1" si="4"/>
        <v>#REF!</v>
      </c>
      <c r="CV22" s="204" t="e">
        <f t="shared" ca="1" si="5"/>
        <v>#REF!</v>
      </c>
      <c r="CW22" s="205" t="e">
        <f t="shared" ca="1" si="6"/>
        <v>#REF!</v>
      </c>
      <c r="CY22" s="203" t="e">
        <f t="shared" ca="1" si="7"/>
        <v>#REF!</v>
      </c>
      <c r="CZ22" s="204" t="e">
        <f t="shared" ca="1" si="8"/>
        <v>#REF!</v>
      </c>
      <c r="DA22" s="205" t="e">
        <f t="shared" ca="1" si="9"/>
        <v>#REF!</v>
      </c>
    </row>
    <row r="23" spans="1:112" ht="30" customHeight="1" thickBot="1" x14ac:dyDescent="0.25">
      <c r="A23" s="254" t="s">
        <v>48</v>
      </c>
      <c r="B23" s="255" t="s">
        <v>96</v>
      </c>
      <c r="C23" s="256">
        <v>1</v>
      </c>
      <c r="D23" s="78"/>
      <c r="E23" s="27"/>
      <c r="F23" s="38" t="str">
        <f ca="1">IF(LEFT(D23,2)="PA",VLOOKUP(D23,INDIRECT(#REF!),5,FALSE),"/")</f>
        <v>/</v>
      </c>
      <c r="G23" s="42" t="str">
        <f ca="1">IF(LEFT(E23,2)="PF",VLOOKUP(E23,INDIRECT(#REF!),5,FALSE),"/")</f>
        <v>/</v>
      </c>
      <c r="H23" s="39" t="str">
        <f ca="1">IF(LEFT(E23,2)="PF",VLOOKUP(E23,INDIRECT(#REF!),6,FALSE),"/")</f>
        <v>/</v>
      </c>
      <c r="I23" s="511"/>
      <c r="J23" s="512"/>
      <c r="K23" s="51" t="str">
        <f ca="1">IF(LEFT(D23,2)="PA",VLOOKUP(D23,INDIRECT(#REF!),3,FALSE),"/")</f>
        <v>/</v>
      </c>
      <c r="L23" s="54" t="str">
        <f ca="1">IF(LEFT(D23,2)="PA",VLOOKUP(D23,INDIRECT(#REF!),4,FALSE),"/")</f>
        <v>/</v>
      </c>
      <c r="M23" s="18"/>
      <c r="N23" s="20">
        <v>1</v>
      </c>
      <c r="O23" s="111">
        <v>1</v>
      </c>
      <c r="P23" s="118">
        <v>1</v>
      </c>
      <c r="Q23" s="20"/>
      <c r="R23" s="21"/>
      <c r="S23" s="124"/>
      <c r="T23" s="126"/>
      <c r="U23" s="105"/>
      <c r="V23" s="106"/>
      <c r="W23" s="126"/>
      <c r="X23" s="116"/>
      <c r="Y23" s="106"/>
      <c r="Z23" s="122"/>
      <c r="AA23" s="116"/>
      <c r="AB23" s="106"/>
      <c r="AD23" s="163">
        <v>420</v>
      </c>
      <c r="AE23" s="164">
        <v>420</v>
      </c>
      <c r="AF23" s="165">
        <v>420</v>
      </c>
      <c r="AG23" s="163"/>
      <c r="AH23" s="164"/>
      <c r="AI23" s="165"/>
      <c r="AJ23" s="157"/>
      <c r="AK23" s="158"/>
      <c r="AL23" s="159"/>
      <c r="AM23" s="157">
        <f>(-16.7*2)-(20*2)+(10*2)</f>
        <v>-53.400000000000006</v>
      </c>
      <c r="AN23" s="158">
        <f>(-16.7*2)-(20*2)+(10*2)</f>
        <v>-53.400000000000006</v>
      </c>
      <c r="AO23" s="159">
        <f>(-16.7*2)-(20*2)+(10*2)</f>
        <v>-53.400000000000006</v>
      </c>
      <c r="AQ23" s="190"/>
      <c r="AR23" s="191"/>
      <c r="AS23" s="192"/>
      <c r="AT23" s="175">
        <f>IF( AG23&lt;&gt;"", ((1000+AG23+5)/1000)*($K23/1000)*(1+#REF!)*#REF!, 0 )</f>
        <v>0</v>
      </c>
      <c r="AU23" s="176">
        <f>IF( AH23&lt;&gt;"", ((1000+AH23+5)/1000)*($K23/1000)*(1+#REF!)*#REF!, 0 )</f>
        <v>0</v>
      </c>
      <c r="AV23" s="177">
        <f>IF( AI23&lt;&gt;"", ((1000+AI23+5)/1000)*($K23/1000)*(1+#REF!)*#REF!, 0 )</f>
        <v>0</v>
      </c>
      <c r="AW23" s="190">
        <f>IF( AJ23&lt;&gt;"", ((1000+AJ23+5)/1000)*($K23/1000)*(1+#REF!)*#REF!, 0 )</f>
        <v>0</v>
      </c>
      <c r="AX23" s="191">
        <f>IF( AK23&lt;&gt;"", ((1000+AK23+5)/1000)*($K23/1000)*(1+#REF!)*#REF!, 0 )</f>
        <v>0</v>
      </c>
      <c r="AY23" s="192">
        <f>IF( AL23&lt;&gt;"", ((1000+AL23+5)/1000)*($K23/1000)*(1+#REF!)*#REF!, 0 )</f>
        <v>0</v>
      </c>
      <c r="AZ23" s="175"/>
      <c r="BA23" s="176"/>
      <c r="BB23" s="177"/>
      <c r="BC23" s="168"/>
      <c r="BD23" s="250" t="e">
        <f>(AD23*(1000+AM23)/1000000)*Epaisseur_tôle*Densité_aluminium*Prix_de_la_tôle_aluminium*(1+Perte_matière)</f>
        <v>#NAME?</v>
      </c>
      <c r="BE23" s="240" t="e">
        <f>(AE23*(1000+AN23)/1000000)*Epaisseur_tôle*Densité_aluminium*Prix_de_la_tôle_aluminium*(1+Perte_matière)</f>
        <v>#NAME?</v>
      </c>
      <c r="BF23" s="241" t="e">
        <f>(AF23*(1000+AO23)/1000000)*Epaisseur_tôle*Densité_aluminium*Prix_de_la_tôle_aluminium*(1+Perte_matière)</f>
        <v>#NAME?</v>
      </c>
      <c r="BG23" s="168"/>
      <c r="BH23" s="172"/>
      <c r="BI23" s="188"/>
      <c r="BJ23" s="188"/>
      <c r="BK23" s="189"/>
      <c r="BL23" s="168"/>
      <c r="BM23" s="197"/>
      <c r="BN23" s="198"/>
      <c r="BO23" s="199"/>
      <c r="BP23" s="178"/>
      <c r="BQ23" s="179"/>
      <c r="BR23" s="180"/>
      <c r="BS23" s="197"/>
      <c r="BT23" s="198"/>
      <c r="BU23" s="199"/>
      <c r="BV23" s="178"/>
      <c r="BW23" s="179"/>
      <c r="BX23" s="180"/>
      <c r="BZ23" s="259" t="e">
        <f ca="1">(MAX(0.12,$L19)*(AD23*(1000+AM23)/1000000)*(1+Perte_matière)*Prix_peinture_standard)</f>
        <v>#REF!</v>
      </c>
      <c r="CA23" s="246" t="e">
        <f ca="1">(MAX(0.12,$L19)*(AE23*(1000+AN23)/1000000)*(1+Perte_matière)*Prix_peinture_standard)</f>
        <v>#REF!</v>
      </c>
      <c r="CB23" s="247" t="e">
        <f ca="1">(MAX(0.12,$L19)*(AF23*(1000+AO23)/1000000)*(1+Perte_matière)*Prix_peinture_standard)</f>
        <v>#REF!</v>
      </c>
      <c r="CD23" s="178"/>
      <c r="CE23" s="198"/>
      <c r="CF23" s="198"/>
      <c r="CG23" s="199"/>
      <c r="CI23" s="92"/>
      <c r="CJ23" s="94"/>
      <c r="CK23" s="93"/>
      <c r="CM23" s="206" t="e">
        <f t="shared" ca="1" si="10"/>
        <v>#REF!</v>
      </c>
      <c r="CN23" s="207" t="e">
        <f t="shared" ca="1" si="0"/>
        <v>#REF!</v>
      </c>
      <c r="CO23" s="208" t="e">
        <f t="shared" ca="1" si="0"/>
        <v>#REF!</v>
      </c>
      <c r="CQ23" s="206">
        <f t="shared" si="1"/>
        <v>0</v>
      </c>
      <c r="CR23" s="207">
        <f t="shared" si="2"/>
        <v>0</v>
      </c>
      <c r="CS23" s="208">
        <f t="shared" si="3"/>
        <v>0</v>
      </c>
      <c r="CU23" s="206">
        <f t="shared" si="4"/>
        <v>0</v>
      </c>
      <c r="CV23" s="207">
        <f t="shared" si="5"/>
        <v>0</v>
      </c>
      <c r="CW23" s="208">
        <f t="shared" si="6"/>
        <v>0</v>
      </c>
      <c r="CY23" s="206">
        <f t="shared" si="7"/>
        <v>0</v>
      </c>
      <c r="CZ23" s="207">
        <f t="shared" si="8"/>
        <v>0</v>
      </c>
      <c r="DA23" s="208">
        <f t="shared" si="9"/>
        <v>0</v>
      </c>
    </row>
    <row r="24" spans="1:112" ht="10.35" customHeight="1" thickBot="1" x14ac:dyDescent="0.25">
      <c r="A24" s="12"/>
      <c r="B24" s="74"/>
      <c r="D24" s="75"/>
      <c r="E24" s="16"/>
      <c r="F24" s="76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Z24" s="3"/>
      <c r="CA24" s="3"/>
      <c r="CB24" s="3"/>
      <c r="CC24" s="3"/>
      <c r="CD24" s="3"/>
      <c r="CE24" s="3"/>
      <c r="CF24" s="3"/>
      <c r="CG24" s="3"/>
      <c r="CI24" s="3"/>
      <c r="CJ24" s="3"/>
      <c r="CK24" s="3"/>
      <c r="CM24" s="3"/>
      <c r="CN24" s="3"/>
      <c r="CO24" s="3"/>
      <c r="CQ24" s="3"/>
      <c r="CR24" s="3"/>
      <c r="CS24" s="3"/>
      <c r="CU24" s="3"/>
      <c r="CV24" s="3"/>
      <c r="CW24" s="3"/>
      <c r="CY24" s="3"/>
      <c r="CZ24" s="3"/>
      <c r="DA24" s="3"/>
    </row>
    <row r="25" spans="1:112" ht="30" customHeight="1" x14ac:dyDescent="0.2">
      <c r="A25" s="139" t="s">
        <v>91</v>
      </c>
      <c r="B25" s="108" t="s">
        <v>77</v>
      </c>
      <c r="C25" s="217"/>
      <c r="D25" s="68" t="s">
        <v>14</v>
      </c>
      <c r="E25" s="218" t="s">
        <v>79</v>
      </c>
      <c r="F25" s="34" t="str">
        <f ca="1">IF(LEFT(D25,2)="PA",VLOOKUP(D25,INDIRECT(#REF!),5,FALSE),"/")</f>
        <v>/</v>
      </c>
      <c r="G25" s="69" t="e">
        <f ca="1">IF(LEFT(E25,2)="PF",VLOOKUP(E25,INDIRECT(#REF!),5,FALSE),"/")</f>
        <v>#REF!</v>
      </c>
      <c r="H25" s="70" t="e">
        <f ca="1">IF(LEFT(E25,2)="PF",VLOOKUP(E25,INDIRECT(#REF!),6,FALSE),"/")</f>
        <v>#REF!</v>
      </c>
      <c r="I25" s="513"/>
      <c r="J25" s="514"/>
      <c r="K25" s="49" t="str">
        <f ca="1">IF(LEFT(D25,2)="PA",VLOOKUP(D25,INDIRECT(#REF!),3,FALSE),"/")</f>
        <v>/</v>
      </c>
      <c r="L25" s="52" t="str">
        <f ca="1">IF(LEFT(D25,2)="PA",VLOOKUP(D25,INDIRECT(#REF!),4,FALSE),"/")</f>
        <v>/</v>
      </c>
      <c r="M25" s="18"/>
      <c r="N25" s="221"/>
      <c r="O25" s="222"/>
      <c r="P25" s="223"/>
      <c r="Q25" s="221">
        <v>1</v>
      </c>
      <c r="R25" s="224"/>
      <c r="S25" s="225"/>
      <c r="T25" s="226">
        <v>1</v>
      </c>
      <c r="U25" s="227"/>
      <c r="V25" s="228"/>
      <c r="W25" s="226">
        <v>1</v>
      </c>
      <c r="X25" s="229"/>
      <c r="Y25" s="228"/>
      <c r="Z25" s="230">
        <v>1</v>
      </c>
      <c r="AA25" s="229"/>
      <c r="AB25" s="228"/>
      <c r="AD25" s="145"/>
      <c r="AE25" s="155"/>
      <c r="AF25" s="156"/>
      <c r="AG25" s="145"/>
      <c r="AH25" s="155"/>
      <c r="AI25" s="156"/>
      <c r="AJ25" s="145"/>
      <c r="AK25" s="155"/>
      <c r="AL25" s="156"/>
      <c r="AM25" s="145"/>
      <c r="AN25" s="155"/>
      <c r="AO25" s="156"/>
      <c r="AQ25" s="194"/>
      <c r="AR25" s="195"/>
      <c r="AS25" s="196"/>
      <c r="AT25" s="194"/>
      <c r="AU25" s="195"/>
      <c r="AV25" s="196"/>
      <c r="AW25" s="194"/>
      <c r="AX25" s="195"/>
      <c r="AY25" s="196"/>
      <c r="AZ25" s="194"/>
      <c r="BA25" s="195"/>
      <c r="BB25" s="196"/>
      <c r="BC25" s="193"/>
      <c r="BD25" s="194"/>
      <c r="BE25" s="195"/>
      <c r="BF25" s="196"/>
      <c r="BG25" s="193"/>
      <c r="BH25" s="194"/>
      <c r="BI25" s="251">
        <v>111</v>
      </c>
      <c r="BJ25" s="195"/>
      <c r="BK25" s="196"/>
      <c r="BL25" s="193"/>
      <c r="BM25" s="214"/>
      <c r="BN25" s="215"/>
      <c r="BO25" s="216"/>
      <c r="BP25" s="214"/>
      <c r="BQ25" s="215"/>
      <c r="BR25" s="216"/>
      <c r="BS25" s="214"/>
      <c r="BT25" s="215"/>
      <c r="BU25" s="216"/>
      <c r="BV25" s="214"/>
      <c r="BW25" s="215"/>
      <c r="BX25" s="216"/>
      <c r="BY25" s="235"/>
      <c r="BZ25" s="214"/>
      <c r="CA25" s="215"/>
      <c r="CB25" s="216"/>
      <c r="CD25" s="214"/>
      <c r="CE25" s="251">
        <v>111</v>
      </c>
      <c r="CF25" s="215"/>
      <c r="CG25" s="216"/>
      <c r="CI25" s="5" t="s">
        <v>15</v>
      </c>
      <c r="CJ25" s="231">
        <v>2.76</v>
      </c>
      <c r="CK25" s="6">
        <f>IF( CJ25&gt;0, CJ25, IF( LEFT(D18,2)="PA", C18*MAX(0.12,L18)*AD18/1000*#REF!, 0 ) )</f>
        <v>2.76</v>
      </c>
      <c r="CM25" s="232">
        <f>IF(N21&lt;&gt;"",((BM25+BP25+BS25+BV25+BZ25+CE25)+(AQ25+AT25+AW25+AZ25+BD25+BI25)*N21),0)</f>
        <v>222</v>
      </c>
      <c r="CN25" s="233">
        <f t="shared" ref="CN25:CO36" si="12">IF(O21&lt;&gt;"",((BN25+BQ25+BT25+BW25+CA25+CF25)+(AR25+AU25+AX25+BA25+BE25+BJ25)*O21),0)</f>
        <v>0</v>
      </c>
      <c r="CO25" s="234">
        <f t="shared" si="12"/>
        <v>0</v>
      </c>
      <c r="CP25" s="235"/>
      <c r="CQ25" s="232">
        <f t="shared" ref="CQ25:CQ36" si="13">IF(Q21&lt;&gt;"",(((BM25+BP25+BS25+BV25+BZ25+CE25)+(AT25+AW25+AZ25+BD25+BI25))*Q21),0)</f>
        <v>0</v>
      </c>
      <c r="CR25" s="233">
        <f t="shared" ref="CR25:CR36" si="14">IF(R21&lt;&gt;"",(((BN25+BQ25+BT25+BW25+CA25+CF25)+(AU25+AX25+BA25+BE25+BJ25))*R21),0)</f>
        <v>0</v>
      </c>
      <c r="CS25" s="234">
        <f t="shared" ref="CS25:CS36" si="15">IF(S21&lt;&gt;"",(((BO25+BR25+BU25+BX25+CB25+CG25)+(AV25+AY25+BB25+BF25+BK25))*S21),0)</f>
        <v>0</v>
      </c>
      <c r="CT25" s="235"/>
      <c r="CU25" s="232">
        <f t="shared" ref="CU25:CU36" si="16">IF(T21&lt;&gt;"",(((BM25+BP25+BS25+BV25+BZ25+CE25)+(AQ25+AT25+AW25+AZ25+BD25+BI25))*T21),0)</f>
        <v>0</v>
      </c>
      <c r="CV25" s="233">
        <f t="shared" ref="CV25:CV36" si="17">IF(U21&lt;&gt;"",(((BN25+BQ25+BT25+BW25+CA25+CF25)+(AR25+AU25+AX25+BA25+BE25+BJ25))*U21),0)</f>
        <v>0</v>
      </c>
      <c r="CW25" s="234">
        <f t="shared" ref="CW25:CW36" si="18">IF(V21&lt;&gt;"",(((BO25+BR25+BU25+BX25+CB25+CG25)+(AS25+AV25+AY25+BB25+BF25+BK25))*V21),0)</f>
        <v>0</v>
      </c>
      <c r="CX25" s="235"/>
      <c r="CY25" s="232">
        <f t="shared" ref="CY25:CY36" si="19">IF(W21&lt;&gt;"",(((BM25+BP25+BS25+BV25+BZ25+CE25)+(AQ25+AT25+AW25+AZ25+BD25+BI25))*W21),0)</f>
        <v>0</v>
      </c>
      <c r="CZ25" s="233">
        <f t="shared" ref="CZ25:CZ36" si="20">IF(X21&lt;&gt;"",(((BN25+BQ25+BT25+BW25+CA25+CF25)+(AR25+AU25+AX25+BA25+BE25+BJ25))*X21),0)</f>
        <v>0</v>
      </c>
      <c r="DA25" s="234">
        <f t="shared" ref="DA25:DA36" si="21">IF(Y21&lt;&gt;"",(((BO25+BR25+BU25+BX25+CB25+CG25)+(AS25+AV25+AY25+BB25+BF25+BK25))*Y21),0)</f>
        <v>0</v>
      </c>
    </row>
    <row r="26" spans="1:112" ht="30" customHeight="1" x14ac:dyDescent="0.2">
      <c r="A26" s="129" t="s">
        <v>90</v>
      </c>
      <c r="B26" s="101" t="s">
        <v>76</v>
      </c>
      <c r="C26" s="98"/>
      <c r="D26" s="9" t="s">
        <v>14</v>
      </c>
      <c r="E26" s="107" t="s">
        <v>78</v>
      </c>
      <c r="F26" s="37" t="str">
        <f ca="1">IF(LEFT(D26,2)="PA",VLOOKUP(D26,INDIRECT(#REF!),5,FALSE),"/")</f>
        <v>/</v>
      </c>
      <c r="G26" s="41" t="e">
        <f ca="1">IF(LEFT(E26,2)="PF",VLOOKUP(E26,INDIRECT(#REF!),5,FALSE),"/")</f>
        <v>#REF!</v>
      </c>
      <c r="H26" s="36" t="e">
        <f ca="1">IF(LEFT(E26,2)="PF",VLOOKUP(E26,INDIRECT(#REF!),6,FALSE),"/")</f>
        <v>#REF!</v>
      </c>
      <c r="I26" s="515"/>
      <c r="J26" s="516"/>
      <c r="K26" s="50" t="str">
        <f ca="1">IF(LEFT(D26,2)="PA",VLOOKUP(D26,INDIRECT(#REF!),3,FALSE),"/")</f>
        <v>/</v>
      </c>
      <c r="L26" s="53" t="str">
        <f ca="1">IF(LEFT(D26,2)="PA",VLOOKUP(D26,INDIRECT(#REF!),4,FALSE),"/")</f>
        <v>/</v>
      </c>
      <c r="M26" s="18"/>
      <c r="N26" s="90"/>
      <c r="O26" s="110"/>
      <c r="P26" s="117"/>
      <c r="Q26" s="90"/>
      <c r="R26" s="91">
        <v>1</v>
      </c>
      <c r="S26" s="123"/>
      <c r="T26" s="125"/>
      <c r="U26" s="103">
        <v>1</v>
      </c>
      <c r="V26" s="104"/>
      <c r="W26" s="125"/>
      <c r="X26" s="114">
        <v>1</v>
      </c>
      <c r="Y26" s="104"/>
      <c r="Z26" s="120"/>
      <c r="AA26" s="114">
        <v>1</v>
      </c>
      <c r="AB26" s="104"/>
      <c r="AD26" s="149"/>
      <c r="AE26" s="150"/>
      <c r="AF26" s="151"/>
      <c r="AG26" s="149"/>
      <c r="AH26" s="150"/>
      <c r="AI26" s="151"/>
      <c r="AJ26" s="146"/>
      <c r="AK26" s="147"/>
      <c r="AL26" s="148"/>
      <c r="AM26" s="146"/>
      <c r="AN26" s="147"/>
      <c r="AO26" s="148"/>
      <c r="AQ26" s="184"/>
      <c r="AR26" s="185"/>
      <c r="AS26" s="186"/>
      <c r="AT26" s="184"/>
      <c r="AU26" s="185"/>
      <c r="AV26" s="186"/>
      <c r="AW26" s="184"/>
      <c r="AX26" s="185"/>
      <c r="AY26" s="186"/>
      <c r="AZ26" s="184"/>
      <c r="BA26" s="185"/>
      <c r="BB26" s="186"/>
      <c r="BC26" s="193"/>
      <c r="BD26" s="187"/>
      <c r="BE26" s="188"/>
      <c r="BF26" s="189"/>
      <c r="BG26" s="193"/>
      <c r="BH26" s="187"/>
      <c r="BI26" s="188"/>
      <c r="BJ26" s="252">
        <v>222</v>
      </c>
      <c r="BK26" s="189"/>
      <c r="BL26" s="193"/>
      <c r="BM26" s="197"/>
      <c r="BN26" s="198"/>
      <c r="BO26" s="199"/>
      <c r="BP26" s="197"/>
      <c r="BQ26" s="198"/>
      <c r="BR26" s="199"/>
      <c r="BS26" s="197"/>
      <c r="BT26" s="198"/>
      <c r="BU26" s="199"/>
      <c r="BV26" s="197"/>
      <c r="BW26" s="198"/>
      <c r="BX26" s="199"/>
      <c r="BY26" s="235"/>
      <c r="BZ26" s="197"/>
      <c r="CA26" s="198"/>
      <c r="CB26" s="199"/>
      <c r="CD26" s="197"/>
      <c r="CE26" s="198"/>
      <c r="CF26" s="252">
        <v>222</v>
      </c>
      <c r="CG26" s="199"/>
      <c r="CI26" s="4"/>
      <c r="CJ26" s="31"/>
      <c r="CK26" s="10"/>
      <c r="CM26" s="203">
        <f t="shared" ref="CM26:CM36" si="22">IF(N22&lt;&gt;"",((BM26+BP26+BS26+BV26+BZ26+CE26)+(AQ26+AT26+AW26+AZ26+BD26+BI26)*N22),0)</f>
        <v>0</v>
      </c>
      <c r="CN26" s="204">
        <f t="shared" si="12"/>
        <v>0</v>
      </c>
      <c r="CO26" s="205">
        <f t="shared" si="12"/>
        <v>0</v>
      </c>
      <c r="CP26" s="235"/>
      <c r="CQ26" s="203">
        <f t="shared" si="13"/>
        <v>0</v>
      </c>
      <c r="CR26" s="204">
        <f t="shared" si="14"/>
        <v>888</v>
      </c>
      <c r="CS26" s="205">
        <f t="shared" si="15"/>
        <v>0</v>
      </c>
      <c r="CT26" s="235"/>
      <c r="CU26" s="203">
        <f t="shared" si="16"/>
        <v>0</v>
      </c>
      <c r="CV26" s="204">
        <f t="shared" si="17"/>
        <v>444</v>
      </c>
      <c r="CW26" s="205">
        <f t="shared" si="18"/>
        <v>0</v>
      </c>
      <c r="CX26" s="235"/>
      <c r="CY26" s="203">
        <f t="shared" si="19"/>
        <v>0</v>
      </c>
      <c r="CZ26" s="204">
        <f t="shared" si="20"/>
        <v>1332</v>
      </c>
      <c r="DA26" s="205">
        <f t="shared" si="21"/>
        <v>0</v>
      </c>
    </row>
    <row r="27" spans="1:112" ht="30" customHeight="1" x14ac:dyDescent="0.2">
      <c r="A27" s="129" t="s">
        <v>93</v>
      </c>
      <c r="B27" s="101" t="s">
        <v>84</v>
      </c>
      <c r="C27" s="98" t="s">
        <v>92</v>
      </c>
      <c r="D27" s="9"/>
      <c r="E27" s="107"/>
      <c r="F27" s="37" t="str">
        <f ca="1">IF(LEFT(D27,2)="PA",VLOOKUP(D27,INDIRECT(#REF!),5,FALSE),"/")</f>
        <v>/</v>
      </c>
      <c r="G27" s="41" t="str">
        <f ca="1">IF(LEFT(E27,2)="PF",VLOOKUP(E27,INDIRECT(#REF!),5,FALSE),"/")</f>
        <v>/</v>
      </c>
      <c r="H27" s="36" t="str">
        <f ca="1">IF(LEFT(E27,2)="PF",VLOOKUP(E27,INDIRECT(#REF!),6,FALSE),"/")</f>
        <v>/</v>
      </c>
      <c r="I27" s="515"/>
      <c r="J27" s="516"/>
      <c r="K27" s="50" t="str">
        <f ca="1">IF(LEFT(D27,2)="PA",VLOOKUP(D27,INDIRECT(#REF!),3,FALSE),"/")</f>
        <v>/</v>
      </c>
      <c r="L27" s="53" t="str">
        <f ca="1">IF(LEFT(D27,2)="PA",VLOOKUP(D27,INDIRECT(#REF!),4,FALSE),"/")</f>
        <v>/</v>
      </c>
      <c r="M27" s="18"/>
      <c r="N27" s="90"/>
      <c r="O27" s="110"/>
      <c r="P27" s="117"/>
      <c r="Q27" s="90"/>
      <c r="R27" s="91"/>
      <c r="S27" s="123">
        <v>1</v>
      </c>
      <c r="T27" s="125">
        <v>1</v>
      </c>
      <c r="U27" s="103"/>
      <c r="V27" s="104">
        <v>1</v>
      </c>
      <c r="W27" s="125">
        <v>1</v>
      </c>
      <c r="X27" s="114"/>
      <c r="Y27" s="104">
        <v>1</v>
      </c>
      <c r="Z27" s="120"/>
      <c r="AA27" s="114"/>
      <c r="AB27" s="104">
        <v>1</v>
      </c>
      <c r="AD27" s="149"/>
      <c r="AE27" s="150"/>
      <c r="AF27" s="151"/>
      <c r="AG27" s="149"/>
      <c r="AH27" s="150"/>
      <c r="AI27" s="151"/>
      <c r="AJ27" s="146"/>
      <c r="AK27" s="147"/>
      <c r="AL27" s="148"/>
      <c r="AM27" s="146"/>
      <c r="AN27" s="147"/>
      <c r="AO27" s="148"/>
      <c r="AQ27" s="187"/>
      <c r="AR27" s="188"/>
      <c r="AS27" s="189"/>
      <c r="AT27" s="187"/>
      <c r="AU27" s="188"/>
      <c r="AV27" s="189"/>
      <c r="AW27" s="187"/>
      <c r="AX27" s="188"/>
      <c r="AY27" s="189"/>
      <c r="AZ27" s="187"/>
      <c r="BA27" s="188"/>
      <c r="BB27" s="189"/>
      <c r="BC27" s="193"/>
      <c r="BD27" s="187"/>
      <c r="BE27" s="188"/>
      <c r="BF27" s="189"/>
      <c r="BG27" s="193"/>
      <c r="BH27" s="187"/>
      <c r="BI27" s="188"/>
      <c r="BJ27" s="188"/>
      <c r="BK27" s="253">
        <v>333</v>
      </c>
      <c r="BL27" s="193"/>
      <c r="BM27" s="197"/>
      <c r="BN27" s="198"/>
      <c r="BO27" s="199"/>
      <c r="BP27" s="197"/>
      <c r="BQ27" s="198"/>
      <c r="BR27" s="199"/>
      <c r="BS27" s="197"/>
      <c r="BT27" s="198"/>
      <c r="BU27" s="199"/>
      <c r="BV27" s="197"/>
      <c r="BW27" s="198"/>
      <c r="BX27" s="199"/>
      <c r="BY27" s="235"/>
      <c r="BZ27" s="197"/>
      <c r="CA27" s="198"/>
      <c r="CB27" s="199"/>
      <c r="CD27" s="197"/>
      <c r="CE27" s="198"/>
      <c r="CF27" s="198"/>
      <c r="CG27" s="199"/>
      <c r="CI27" s="4"/>
      <c r="CJ27" s="23"/>
      <c r="CK27" s="10" t="e">
        <f>IF( CJ27&gt;0, CJ27, IF( LEFT(#REF!,2)="PA",#REF!*MAX( 0.12,#REF!)*#REF!/1000*#REF!, 0 ) )</f>
        <v>#REF!</v>
      </c>
      <c r="CM27" s="203">
        <f t="shared" si="22"/>
        <v>0</v>
      </c>
      <c r="CN27" s="204">
        <f t="shared" si="12"/>
        <v>0</v>
      </c>
      <c r="CO27" s="205">
        <f t="shared" si="12"/>
        <v>333</v>
      </c>
      <c r="CP27" s="235"/>
      <c r="CQ27" s="203">
        <f t="shared" si="13"/>
        <v>0</v>
      </c>
      <c r="CR27" s="204">
        <f t="shared" si="14"/>
        <v>0</v>
      </c>
      <c r="CS27" s="205">
        <f t="shared" si="15"/>
        <v>0</v>
      </c>
      <c r="CT27" s="235"/>
      <c r="CU27" s="203">
        <f t="shared" si="16"/>
        <v>0</v>
      </c>
      <c r="CV27" s="204">
        <f t="shared" si="17"/>
        <v>0</v>
      </c>
      <c r="CW27" s="205">
        <f t="shared" si="18"/>
        <v>0</v>
      </c>
      <c r="CX27" s="235"/>
      <c r="CY27" s="203">
        <f t="shared" si="19"/>
        <v>0</v>
      </c>
      <c r="CZ27" s="204">
        <f t="shared" si="20"/>
        <v>0</v>
      </c>
      <c r="DA27" s="205">
        <f t="shared" si="21"/>
        <v>0</v>
      </c>
    </row>
    <row r="28" spans="1:112" ht="30" customHeight="1" x14ac:dyDescent="0.2">
      <c r="A28" s="129" t="s">
        <v>93</v>
      </c>
      <c r="B28" s="101" t="s">
        <v>46</v>
      </c>
      <c r="C28" s="98">
        <f>C10</f>
        <v>1</v>
      </c>
      <c r="D28" s="9" t="s">
        <v>14</v>
      </c>
      <c r="E28" s="107" t="s">
        <v>61</v>
      </c>
      <c r="F28" s="37" t="str">
        <f ca="1">IF(LEFT(D28,2)="PA",VLOOKUP(D28,INDIRECT(#REF!),5,FALSE),"/")</f>
        <v>/</v>
      </c>
      <c r="G28" s="41" t="e">
        <f ca="1">IF(LEFT(E28,2)="PF",VLOOKUP(E28,INDIRECT(#REF!),5,FALSE),"/")</f>
        <v>#REF!</v>
      </c>
      <c r="H28" s="36" t="e">
        <f ca="1">IF(LEFT(E28,2)="PF",VLOOKUP(E28,INDIRECT(#REF!),6,FALSE),"/")</f>
        <v>#REF!</v>
      </c>
      <c r="I28" s="515"/>
      <c r="J28" s="516"/>
      <c r="K28" s="50" t="str">
        <f ca="1">IF(LEFT(D28,2)="PA",VLOOKUP(D28,INDIRECT(#REF!),3,FALSE),"/")</f>
        <v>/</v>
      </c>
      <c r="L28" s="53" t="str">
        <f ca="1">IF(LEFT(D28,2)="PA",VLOOKUP(D28,INDIRECT(#REF!),4,FALSE),"/")</f>
        <v>/</v>
      </c>
      <c r="M28" s="18"/>
      <c r="N28" s="90"/>
      <c r="O28" s="110"/>
      <c r="P28" s="117"/>
      <c r="Q28" s="90"/>
      <c r="R28" s="91"/>
      <c r="S28" s="123">
        <v>1</v>
      </c>
      <c r="T28" s="125">
        <v>1</v>
      </c>
      <c r="U28" s="103"/>
      <c r="V28" s="104">
        <v>1</v>
      </c>
      <c r="W28" s="125">
        <v>1</v>
      </c>
      <c r="X28" s="114"/>
      <c r="Y28" s="104">
        <v>1</v>
      </c>
      <c r="Z28" s="120"/>
      <c r="AA28" s="114"/>
      <c r="AB28" s="104">
        <v>1</v>
      </c>
      <c r="AD28" s="149"/>
      <c r="AE28" s="150"/>
      <c r="AF28" s="151"/>
      <c r="AG28" s="149"/>
      <c r="AH28" s="150"/>
      <c r="AI28" s="151"/>
      <c r="AJ28" s="146"/>
      <c r="AK28" s="147"/>
      <c r="AL28" s="148"/>
      <c r="AM28" s="146"/>
      <c r="AN28" s="147"/>
      <c r="AO28" s="148"/>
      <c r="AQ28" s="187"/>
      <c r="AR28" s="188"/>
      <c r="AS28" s="189"/>
      <c r="AT28" s="187"/>
      <c r="AU28" s="188"/>
      <c r="AV28" s="189"/>
      <c r="AW28" s="187"/>
      <c r="AX28" s="188"/>
      <c r="AY28" s="189"/>
      <c r="AZ28" s="187"/>
      <c r="BA28" s="188"/>
      <c r="BB28" s="189"/>
      <c r="BC28" s="193"/>
      <c r="BD28" s="187"/>
      <c r="BE28" s="188"/>
      <c r="BF28" s="189"/>
      <c r="BG28" s="193"/>
      <c r="BH28" s="187"/>
      <c r="BI28" s="188"/>
      <c r="BJ28" s="188"/>
      <c r="BK28" s="253">
        <v>333</v>
      </c>
      <c r="BL28" s="193"/>
      <c r="BM28" s="197"/>
      <c r="BN28" s="198"/>
      <c r="BO28" s="199"/>
      <c r="BP28" s="197"/>
      <c r="BQ28" s="198"/>
      <c r="BR28" s="199"/>
      <c r="BS28" s="197"/>
      <c r="BT28" s="198"/>
      <c r="BU28" s="199"/>
      <c r="BV28" s="197"/>
      <c r="BW28" s="198"/>
      <c r="BX28" s="199"/>
      <c r="BY28" s="235"/>
      <c r="BZ28" s="197"/>
      <c r="CA28" s="198"/>
      <c r="CB28" s="199"/>
      <c r="CD28" s="197"/>
      <c r="CE28" s="198"/>
      <c r="CF28" s="198"/>
      <c r="CG28" s="253">
        <v>333</v>
      </c>
      <c r="CI28" s="4"/>
      <c r="CJ28" s="23"/>
      <c r="CK28" s="10" t="e">
        <f ca="1">IF( CJ28&gt;0, CJ28, IF( LEFT(D20,2)="PA", C20*MAX(0.12,L20)*AD20/1000*#REF!, 0 ) )</f>
        <v>#REF!</v>
      </c>
      <c r="CM28" s="203">
        <f t="shared" si="22"/>
        <v>0</v>
      </c>
      <c r="CN28" s="204">
        <f t="shared" si="12"/>
        <v>0</v>
      </c>
      <c r="CO28" s="205">
        <f t="shared" si="12"/>
        <v>0</v>
      </c>
      <c r="CP28" s="235"/>
      <c r="CQ28" s="203">
        <f t="shared" si="13"/>
        <v>0</v>
      </c>
      <c r="CR28" s="204">
        <f t="shared" si="14"/>
        <v>0</v>
      </c>
      <c r="CS28" s="205">
        <f t="shared" si="15"/>
        <v>0</v>
      </c>
      <c r="CT28" s="235"/>
      <c r="CU28" s="203">
        <f t="shared" si="16"/>
        <v>0</v>
      </c>
      <c r="CV28" s="204">
        <f t="shared" si="17"/>
        <v>0</v>
      </c>
      <c r="CW28" s="205">
        <f t="shared" si="18"/>
        <v>0</v>
      </c>
      <c r="CX28" s="235"/>
      <c r="CY28" s="203">
        <f t="shared" si="19"/>
        <v>0</v>
      </c>
      <c r="CZ28" s="204">
        <f t="shared" si="20"/>
        <v>0</v>
      </c>
      <c r="DA28" s="205">
        <f t="shared" si="21"/>
        <v>0</v>
      </c>
    </row>
    <row r="29" spans="1:112" ht="30" customHeight="1" x14ac:dyDescent="0.2">
      <c r="A29" s="129" t="s">
        <v>93</v>
      </c>
      <c r="B29" s="101" t="s">
        <v>47</v>
      </c>
      <c r="C29" s="98"/>
      <c r="D29" s="9" t="s">
        <v>14</v>
      </c>
      <c r="E29" s="107" t="s">
        <v>62</v>
      </c>
      <c r="F29" s="37" t="str">
        <f ca="1">IF(LEFT(D29,2)="PA",VLOOKUP(D29,INDIRECT(#REF!),5,FALSE),"/")</f>
        <v>/</v>
      </c>
      <c r="G29" s="41" t="e">
        <f ca="1">IF(LEFT(E29,2)="PF",VLOOKUP(E29,INDIRECT(#REF!),5,FALSE),"/")</f>
        <v>#REF!</v>
      </c>
      <c r="H29" s="36" t="e">
        <f ca="1">IF(LEFT(E29,2)="PF",VLOOKUP(E29,INDIRECT(#REF!),6,FALSE),"/")</f>
        <v>#REF!</v>
      </c>
      <c r="I29" s="515"/>
      <c r="J29" s="516"/>
      <c r="K29" s="50" t="str">
        <f ca="1">IF(LEFT(D29,2)="PA",VLOOKUP(D29,INDIRECT(#REF!),3,FALSE),"/")</f>
        <v>/</v>
      </c>
      <c r="L29" s="53" t="str">
        <f ca="1">IF(LEFT(D29,2)="PA",VLOOKUP(D29,INDIRECT(#REF!),4,FALSE),"/")</f>
        <v>/</v>
      </c>
      <c r="M29" s="18"/>
      <c r="N29" s="90"/>
      <c r="O29" s="110"/>
      <c r="P29" s="117"/>
      <c r="Q29" s="90"/>
      <c r="R29" s="91"/>
      <c r="S29" s="123">
        <v>1</v>
      </c>
      <c r="T29" s="125">
        <v>1</v>
      </c>
      <c r="U29" s="103"/>
      <c r="V29" s="104">
        <v>1</v>
      </c>
      <c r="W29" s="125">
        <v>1</v>
      </c>
      <c r="X29" s="114"/>
      <c r="Y29" s="104">
        <v>1</v>
      </c>
      <c r="Z29" s="120"/>
      <c r="AA29" s="114"/>
      <c r="AB29" s="104">
        <v>1</v>
      </c>
      <c r="AD29" s="149"/>
      <c r="AE29" s="150"/>
      <c r="AF29" s="151"/>
      <c r="AG29" s="149"/>
      <c r="AH29" s="150"/>
      <c r="AI29" s="151"/>
      <c r="AJ29" s="146"/>
      <c r="AK29" s="147"/>
      <c r="AL29" s="148"/>
      <c r="AM29" s="146"/>
      <c r="AN29" s="147"/>
      <c r="AO29" s="148"/>
      <c r="AQ29" s="187"/>
      <c r="AR29" s="188"/>
      <c r="AS29" s="189"/>
      <c r="AT29" s="187"/>
      <c r="AU29" s="188"/>
      <c r="AV29" s="189"/>
      <c r="AW29" s="187"/>
      <c r="AX29" s="188"/>
      <c r="AY29" s="189"/>
      <c r="AZ29" s="187"/>
      <c r="BA29" s="188"/>
      <c r="BB29" s="189"/>
      <c r="BC29" s="193"/>
      <c r="BD29" s="187"/>
      <c r="BE29" s="188"/>
      <c r="BF29" s="189"/>
      <c r="BG29" s="193"/>
      <c r="BH29" s="187"/>
      <c r="BI29" s="188"/>
      <c r="BJ29" s="188"/>
      <c r="BK29" s="253">
        <v>333</v>
      </c>
      <c r="BL29" s="193"/>
      <c r="BM29" s="197"/>
      <c r="BN29" s="198"/>
      <c r="BO29" s="199"/>
      <c r="BP29" s="197"/>
      <c r="BQ29" s="198"/>
      <c r="BR29" s="199"/>
      <c r="BS29" s="197"/>
      <c r="BT29" s="198"/>
      <c r="BU29" s="199"/>
      <c r="BV29" s="197"/>
      <c r="BW29" s="198"/>
      <c r="BX29" s="199"/>
      <c r="BY29" s="235"/>
      <c r="BZ29" s="197"/>
      <c r="CA29" s="198"/>
      <c r="CB29" s="199"/>
      <c r="CC29" s="193"/>
      <c r="CD29" s="197"/>
      <c r="CE29" s="198"/>
      <c r="CF29" s="198"/>
      <c r="CG29" s="253">
        <v>333</v>
      </c>
      <c r="CI29" s="4"/>
      <c r="CJ29" s="23"/>
      <c r="CK29" s="10" t="e">
        <f>IF( CJ29&gt;0, CJ29, IF( LEFT(#REF!,2)="PA",#REF!*MAX( 0.12,#REF!)*#REF!/1000*#REF!, 0 ) )</f>
        <v>#REF!</v>
      </c>
      <c r="CM29" s="203">
        <f t="shared" si="22"/>
        <v>0</v>
      </c>
      <c r="CN29" s="204">
        <f t="shared" si="12"/>
        <v>0</v>
      </c>
      <c r="CO29" s="205">
        <f t="shared" si="12"/>
        <v>0</v>
      </c>
      <c r="CP29" s="235"/>
      <c r="CQ29" s="203">
        <f t="shared" si="13"/>
        <v>0</v>
      </c>
      <c r="CR29" s="204">
        <f t="shared" si="14"/>
        <v>0</v>
      </c>
      <c r="CS29" s="205">
        <f t="shared" si="15"/>
        <v>0</v>
      </c>
      <c r="CT29" s="235"/>
      <c r="CU29" s="203">
        <f t="shared" si="16"/>
        <v>0</v>
      </c>
      <c r="CV29" s="204">
        <f t="shared" si="17"/>
        <v>0</v>
      </c>
      <c r="CW29" s="205">
        <f t="shared" si="18"/>
        <v>0</v>
      </c>
      <c r="CX29" s="235"/>
      <c r="CY29" s="203">
        <f t="shared" si="19"/>
        <v>0</v>
      </c>
      <c r="CZ29" s="204">
        <f t="shared" si="20"/>
        <v>0</v>
      </c>
      <c r="DA29" s="205">
        <f t="shared" si="21"/>
        <v>0</v>
      </c>
    </row>
    <row r="30" spans="1:112" ht="30" customHeight="1" x14ac:dyDescent="0.2">
      <c r="A30" s="129" t="s">
        <v>43</v>
      </c>
      <c r="B30" s="101" t="s">
        <v>45</v>
      </c>
      <c r="C30" s="98"/>
      <c r="D30" s="9" t="s">
        <v>14</v>
      </c>
      <c r="E30" s="107" t="s">
        <v>86</v>
      </c>
      <c r="F30" s="37" t="str">
        <f ca="1">IF(LEFT(D30,2)="PA",VLOOKUP(D30,INDIRECT(#REF!),5,FALSE),"/")</f>
        <v>/</v>
      </c>
      <c r="G30" s="41" t="e">
        <f ca="1">IF(LEFT(E30,2)="PF",VLOOKUP(E30,INDIRECT(#REF!),5,FALSE),"/")</f>
        <v>#REF!</v>
      </c>
      <c r="H30" s="36" t="e">
        <f ca="1">IF(LEFT(E30,2)="PF",VLOOKUP(E30,INDIRECT(#REF!),6,FALSE),"/")</f>
        <v>#REF!</v>
      </c>
      <c r="I30" s="515"/>
      <c r="J30" s="516"/>
      <c r="K30" s="50" t="str">
        <f ca="1">IF(LEFT(D30,2)="PA",VLOOKUP(D30,INDIRECT(#REF!),3,FALSE),"/")</f>
        <v>/</v>
      </c>
      <c r="L30" s="53" t="str">
        <f ca="1">IF(LEFT(D30,2)="PA",VLOOKUP(D30,INDIRECT(#REF!),4,FALSE),"/")</f>
        <v>/</v>
      </c>
      <c r="M30" s="18"/>
      <c r="N30" s="90"/>
      <c r="O30" s="110"/>
      <c r="P30" s="117"/>
      <c r="Q30" s="90">
        <v>1</v>
      </c>
      <c r="R30" s="91">
        <v>1</v>
      </c>
      <c r="S30" s="123">
        <v>1</v>
      </c>
      <c r="T30" s="125">
        <v>1</v>
      </c>
      <c r="U30" s="103">
        <v>1</v>
      </c>
      <c r="V30" s="104">
        <v>1</v>
      </c>
      <c r="W30" s="125">
        <v>1</v>
      </c>
      <c r="X30" s="114">
        <v>1</v>
      </c>
      <c r="Y30" s="104">
        <v>1</v>
      </c>
      <c r="Z30" s="120">
        <v>1</v>
      </c>
      <c r="AA30" s="114">
        <v>1</v>
      </c>
      <c r="AB30" s="104">
        <v>1</v>
      </c>
      <c r="AD30" s="149"/>
      <c r="AE30" s="150"/>
      <c r="AF30" s="151"/>
      <c r="AG30" s="149"/>
      <c r="AH30" s="150"/>
      <c r="AI30" s="151"/>
      <c r="AJ30" s="146"/>
      <c r="AK30" s="147"/>
      <c r="AL30" s="148"/>
      <c r="AM30" s="146"/>
      <c r="AN30" s="147"/>
      <c r="AO30" s="148"/>
      <c r="AQ30" s="187"/>
      <c r="AR30" s="188"/>
      <c r="AS30" s="189"/>
      <c r="AT30" s="187"/>
      <c r="AU30" s="188"/>
      <c r="AV30" s="189"/>
      <c r="AW30" s="187"/>
      <c r="AX30" s="188"/>
      <c r="AY30" s="189"/>
      <c r="AZ30" s="187"/>
      <c r="BA30" s="188"/>
      <c r="BB30" s="189"/>
      <c r="BC30" s="193"/>
      <c r="BD30" s="187"/>
      <c r="BE30" s="188"/>
      <c r="BF30" s="189"/>
      <c r="BG30" s="193"/>
      <c r="BH30" s="187"/>
      <c r="BI30" s="252">
        <v>4</v>
      </c>
      <c r="BJ30" s="252">
        <v>4</v>
      </c>
      <c r="BK30" s="253">
        <v>4</v>
      </c>
      <c r="BL30" s="193"/>
      <c r="BM30" s="197"/>
      <c r="BN30" s="198"/>
      <c r="BO30" s="199"/>
      <c r="BP30" s="197"/>
      <c r="BQ30" s="198"/>
      <c r="BR30" s="199"/>
      <c r="BS30" s="197"/>
      <c r="BT30" s="198"/>
      <c r="BU30" s="199"/>
      <c r="BV30" s="197"/>
      <c r="BW30" s="198"/>
      <c r="BX30" s="199"/>
      <c r="BY30" s="235"/>
      <c r="BZ30" s="197"/>
      <c r="CA30" s="198"/>
      <c r="CB30" s="199"/>
      <c r="CC30" s="193"/>
      <c r="CD30" s="197"/>
      <c r="CE30" s="252">
        <v>4</v>
      </c>
      <c r="CF30" s="252">
        <v>4</v>
      </c>
      <c r="CG30" s="253">
        <v>4</v>
      </c>
      <c r="CI30" s="4"/>
      <c r="CJ30" s="23"/>
      <c r="CK30" s="10" t="e">
        <f ca="1">IF( CJ30&gt;0, CJ30, IF( LEFT(D21,2)="PA", C21*MAX(0.12,L21)*AD21/1000*#REF!, 0 ) )</f>
        <v>#REF!</v>
      </c>
      <c r="CM30" s="203">
        <f t="shared" si="22"/>
        <v>0</v>
      </c>
      <c r="CN30" s="204">
        <f t="shared" si="12"/>
        <v>0</v>
      </c>
      <c r="CO30" s="205">
        <f t="shared" si="12"/>
        <v>0</v>
      </c>
      <c r="CP30" s="235"/>
      <c r="CQ30" s="203">
        <f t="shared" si="13"/>
        <v>0</v>
      </c>
      <c r="CR30" s="204">
        <f t="shared" si="14"/>
        <v>8</v>
      </c>
      <c r="CS30" s="205">
        <f t="shared" si="15"/>
        <v>0</v>
      </c>
      <c r="CT30" s="235"/>
      <c r="CU30" s="203">
        <f t="shared" si="16"/>
        <v>0</v>
      </c>
      <c r="CV30" s="204">
        <f t="shared" si="17"/>
        <v>8</v>
      </c>
      <c r="CW30" s="205">
        <f t="shared" si="18"/>
        <v>0</v>
      </c>
      <c r="CX30" s="235"/>
      <c r="CY30" s="203">
        <f t="shared" si="19"/>
        <v>0</v>
      </c>
      <c r="CZ30" s="204">
        <f t="shared" si="20"/>
        <v>8</v>
      </c>
      <c r="DA30" s="205">
        <f t="shared" si="21"/>
        <v>0</v>
      </c>
    </row>
    <row r="31" spans="1:112" ht="30" customHeight="1" x14ac:dyDescent="0.2">
      <c r="A31" s="129" t="s">
        <v>43</v>
      </c>
      <c r="B31" s="101" t="s">
        <v>81</v>
      </c>
      <c r="C31" s="98" t="s">
        <v>92</v>
      </c>
      <c r="D31" s="9"/>
      <c r="E31" s="107"/>
      <c r="F31" s="37" t="str">
        <f ca="1">IF(LEFT(D31,2)="PA",VLOOKUP(D31,INDIRECT(#REF!),5,FALSE),"/")</f>
        <v>/</v>
      </c>
      <c r="G31" s="41" t="str">
        <f ca="1">IF(LEFT(E31,2)="PF",VLOOKUP(E31,INDIRECT(#REF!),5,FALSE),"/")</f>
        <v>/</v>
      </c>
      <c r="H31" s="36" t="str">
        <f ca="1">IF(LEFT(E31,2)="PF",VLOOKUP(E31,INDIRECT(#REF!),6,FALSE),"/")</f>
        <v>/</v>
      </c>
      <c r="I31" s="515"/>
      <c r="J31" s="516"/>
      <c r="K31" s="50"/>
      <c r="L31" s="53"/>
      <c r="M31" s="18"/>
      <c r="N31" s="90"/>
      <c r="O31" s="110"/>
      <c r="P31" s="117"/>
      <c r="Q31" s="90">
        <v>2</v>
      </c>
      <c r="R31" s="91">
        <v>2</v>
      </c>
      <c r="S31" s="123">
        <v>2</v>
      </c>
      <c r="T31" s="125">
        <v>2</v>
      </c>
      <c r="U31" s="103">
        <v>2</v>
      </c>
      <c r="V31" s="104">
        <v>2</v>
      </c>
      <c r="W31" s="125">
        <v>2</v>
      </c>
      <c r="X31" s="114">
        <v>2</v>
      </c>
      <c r="Y31" s="104">
        <v>2</v>
      </c>
      <c r="Z31" s="120">
        <v>2</v>
      </c>
      <c r="AA31" s="114">
        <v>2</v>
      </c>
      <c r="AB31" s="104">
        <v>2</v>
      </c>
      <c r="AD31" s="149"/>
      <c r="AE31" s="150"/>
      <c r="AF31" s="151"/>
      <c r="AG31" s="149"/>
      <c r="AH31" s="150"/>
      <c r="AI31" s="151"/>
      <c r="AJ31" s="146"/>
      <c r="AK31" s="147"/>
      <c r="AL31" s="148"/>
      <c r="AM31" s="146"/>
      <c r="AN31" s="147"/>
      <c r="AO31" s="148"/>
      <c r="AQ31" s="187"/>
      <c r="AR31" s="188"/>
      <c r="AS31" s="189"/>
      <c r="AT31" s="187"/>
      <c r="AU31" s="188"/>
      <c r="AV31" s="189"/>
      <c r="AW31" s="187"/>
      <c r="AX31" s="188"/>
      <c r="AY31" s="189"/>
      <c r="AZ31" s="187"/>
      <c r="BA31" s="188"/>
      <c r="BB31" s="189"/>
      <c r="BC31" s="193"/>
      <c r="BD31" s="187"/>
      <c r="BE31" s="188"/>
      <c r="BF31" s="189"/>
      <c r="BG31" s="193"/>
      <c r="BH31" s="187"/>
      <c r="BI31" s="252">
        <v>5</v>
      </c>
      <c r="BJ31" s="252">
        <v>5</v>
      </c>
      <c r="BK31" s="253">
        <v>5</v>
      </c>
      <c r="BL31" s="193"/>
      <c r="BM31" s="197"/>
      <c r="BN31" s="198"/>
      <c r="BO31" s="199"/>
      <c r="BP31" s="197"/>
      <c r="BQ31" s="198"/>
      <c r="BR31" s="199"/>
      <c r="BS31" s="197"/>
      <c r="BT31" s="198"/>
      <c r="BU31" s="199"/>
      <c r="BV31" s="197"/>
      <c r="BW31" s="198"/>
      <c r="BX31" s="199"/>
      <c r="BY31" s="235"/>
      <c r="BZ31" s="197"/>
      <c r="CA31" s="198"/>
      <c r="CB31" s="199"/>
      <c r="CC31" s="193"/>
      <c r="CD31" s="197"/>
      <c r="CE31" s="198"/>
      <c r="CF31" s="198"/>
      <c r="CG31" s="199"/>
      <c r="CI31" s="4"/>
      <c r="CJ31" s="23"/>
      <c r="CK31" s="10" t="e">
        <f>IF( CJ31&gt;0, CJ31, IF( LEFT(#REF!,2)="PA",#REF!*MAX( 0.12,#REF!)*#REF!/1000*#REF!, 0 ) )</f>
        <v>#REF!</v>
      </c>
      <c r="CM31" s="203">
        <f t="shared" si="22"/>
        <v>0</v>
      </c>
      <c r="CN31" s="204">
        <f t="shared" si="12"/>
        <v>0</v>
      </c>
      <c r="CO31" s="205">
        <f t="shared" si="12"/>
        <v>0</v>
      </c>
      <c r="CP31" s="235"/>
      <c r="CQ31" s="203">
        <f t="shared" si="13"/>
        <v>0</v>
      </c>
      <c r="CR31" s="204">
        <f t="shared" si="14"/>
        <v>0</v>
      </c>
      <c r="CS31" s="205">
        <f t="shared" si="15"/>
        <v>5</v>
      </c>
      <c r="CT31" s="235"/>
      <c r="CU31" s="203">
        <f t="shared" si="16"/>
        <v>5</v>
      </c>
      <c r="CV31" s="204">
        <f t="shared" si="17"/>
        <v>0</v>
      </c>
      <c r="CW31" s="205">
        <f t="shared" si="18"/>
        <v>5</v>
      </c>
      <c r="CX31" s="235"/>
      <c r="CY31" s="203">
        <f t="shared" si="19"/>
        <v>5</v>
      </c>
      <c r="CZ31" s="204">
        <f t="shared" si="20"/>
        <v>0</v>
      </c>
      <c r="DA31" s="205">
        <f t="shared" si="21"/>
        <v>5</v>
      </c>
    </row>
    <row r="32" spans="1:112" ht="30" customHeight="1" x14ac:dyDescent="0.2">
      <c r="A32" s="129" t="s">
        <v>91</v>
      </c>
      <c r="B32" s="101" t="s">
        <v>85</v>
      </c>
      <c r="C32" s="98" t="s">
        <v>92</v>
      </c>
      <c r="D32" s="9" t="s">
        <v>14</v>
      </c>
      <c r="E32" s="107"/>
      <c r="F32" s="37" t="str">
        <f ca="1">IF(LEFT(D32,2)="PA",VLOOKUP(D32,INDIRECT(#REF!),5,FALSE),"/")</f>
        <v>/</v>
      </c>
      <c r="G32" s="41" t="str">
        <f ca="1">IF(LEFT(E32,2)="PF",VLOOKUP(E32,INDIRECT(#REF!),5,FALSE),"/")</f>
        <v>/</v>
      </c>
      <c r="H32" s="36" t="str">
        <f ca="1">IF(LEFT(E32,2)="PF",VLOOKUP(E32,INDIRECT(#REF!),6,FALSE),"/")</f>
        <v>/</v>
      </c>
      <c r="I32" s="515"/>
      <c r="J32" s="516"/>
      <c r="K32" s="50" t="str">
        <f ca="1">IF(LEFT(D32,2)="PA",VLOOKUP(D32,INDIRECT(#REF!),3,FALSE),"/")</f>
        <v>/</v>
      </c>
      <c r="L32" s="53" t="str">
        <f ca="1">IF(LEFT(D32,2)="PA",VLOOKUP(D32,INDIRECT(#REF!),4,FALSE),"/")</f>
        <v>/</v>
      </c>
      <c r="M32" s="18"/>
      <c r="N32" s="90"/>
      <c r="O32" s="110"/>
      <c r="P32" s="117"/>
      <c r="Q32" s="90"/>
      <c r="R32" s="91"/>
      <c r="S32" s="123"/>
      <c r="T32" s="125"/>
      <c r="U32" s="103"/>
      <c r="V32" s="104"/>
      <c r="W32" s="125">
        <v>4</v>
      </c>
      <c r="X32" s="114">
        <v>4</v>
      </c>
      <c r="Y32" s="104">
        <v>4</v>
      </c>
      <c r="Z32" s="120">
        <v>4</v>
      </c>
      <c r="AA32" s="114">
        <v>4</v>
      </c>
      <c r="AB32" s="104">
        <v>4</v>
      </c>
      <c r="AD32" s="149"/>
      <c r="AE32" s="150"/>
      <c r="AF32" s="151"/>
      <c r="AG32" s="149"/>
      <c r="AH32" s="150"/>
      <c r="AI32" s="151"/>
      <c r="AJ32" s="146"/>
      <c r="AK32" s="147"/>
      <c r="AL32" s="148"/>
      <c r="AM32" s="146"/>
      <c r="AN32" s="147"/>
      <c r="AO32" s="148"/>
      <c r="AQ32" s="187"/>
      <c r="AR32" s="188"/>
      <c r="AS32" s="189"/>
      <c r="AT32" s="187"/>
      <c r="AU32" s="188"/>
      <c r="AV32" s="189"/>
      <c r="AW32" s="187"/>
      <c r="AX32" s="188"/>
      <c r="AY32" s="189"/>
      <c r="AZ32" s="187"/>
      <c r="BA32" s="188"/>
      <c r="BB32" s="189"/>
      <c r="BC32" s="193"/>
      <c r="BD32" s="187"/>
      <c r="BE32" s="188"/>
      <c r="BF32" s="189"/>
      <c r="BG32" s="193"/>
      <c r="BH32" s="187"/>
      <c r="BI32" s="252">
        <v>111</v>
      </c>
      <c r="BJ32" s="252">
        <v>111</v>
      </c>
      <c r="BK32" s="253">
        <v>111</v>
      </c>
      <c r="BL32" s="193"/>
      <c r="BM32" s="197"/>
      <c r="BN32" s="198"/>
      <c r="BO32" s="199"/>
      <c r="BP32" s="197"/>
      <c r="BQ32" s="198"/>
      <c r="BR32" s="199"/>
      <c r="BS32" s="197"/>
      <c r="BT32" s="198"/>
      <c r="BU32" s="199"/>
      <c r="BV32" s="197"/>
      <c r="BW32" s="198"/>
      <c r="BX32" s="199"/>
      <c r="BY32" s="235"/>
      <c r="BZ32" s="197"/>
      <c r="CA32" s="198"/>
      <c r="CB32" s="199"/>
      <c r="CC32" s="193"/>
      <c r="CD32" s="197"/>
      <c r="CE32" s="198"/>
      <c r="CF32" s="198"/>
      <c r="CG32" s="199"/>
      <c r="CI32" s="4"/>
      <c r="CJ32" s="23"/>
      <c r="CK32" s="10" t="e">
        <f>IF( CJ32&gt;0, CJ32, IF( LEFT(#REF!,2)="PA",#REF!*MAX( 0.12,#REF!)*#REF!/1000*#REF!, 0 ) )</f>
        <v>#REF!</v>
      </c>
      <c r="CM32" s="203">
        <f t="shared" si="22"/>
        <v>0</v>
      </c>
      <c r="CN32" s="204">
        <f t="shared" si="12"/>
        <v>0</v>
      </c>
      <c r="CO32" s="205">
        <f t="shared" si="12"/>
        <v>0</v>
      </c>
      <c r="CP32" s="235"/>
      <c r="CQ32" s="203">
        <f t="shared" si="13"/>
        <v>0</v>
      </c>
      <c r="CR32" s="204">
        <f t="shared" si="14"/>
        <v>0</v>
      </c>
      <c r="CS32" s="205">
        <f t="shared" si="15"/>
        <v>111</v>
      </c>
      <c r="CT32" s="235"/>
      <c r="CU32" s="203">
        <f t="shared" si="16"/>
        <v>111</v>
      </c>
      <c r="CV32" s="204">
        <f t="shared" si="17"/>
        <v>0</v>
      </c>
      <c r="CW32" s="205">
        <f t="shared" si="18"/>
        <v>111</v>
      </c>
      <c r="CX32" s="235"/>
      <c r="CY32" s="203">
        <f t="shared" si="19"/>
        <v>111</v>
      </c>
      <c r="CZ32" s="204">
        <f t="shared" si="20"/>
        <v>0</v>
      </c>
      <c r="DA32" s="205">
        <f t="shared" si="21"/>
        <v>111</v>
      </c>
    </row>
    <row r="33" spans="1:109" ht="30" customHeight="1" x14ac:dyDescent="0.2">
      <c r="A33" s="129" t="s">
        <v>93</v>
      </c>
      <c r="B33" s="101" t="s">
        <v>82</v>
      </c>
      <c r="C33" s="98" t="s">
        <v>92</v>
      </c>
      <c r="D33" s="9" t="s">
        <v>14</v>
      </c>
      <c r="E33" s="107"/>
      <c r="F33" s="37" t="str">
        <f ca="1">IF(LEFT(D33,2)="PA",VLOOKUP(D33,INDIRECT(#REF!),5,FALSE),"/")</f>
        <v>/</v>
      </c>
      <c r="G33" s="41">
        <v>22378</v>
      </c>
      <c r="H33" s="36" t="str">
        <f ca="1">IF(LEFT(E33,2)="PF",VLOOKUP(E33,INDIRECT(#REF!),6,FALSE),"/")</f>
        <v>/</v>
      </c>
      <c r="I33" s="515"/>
      <c r="J33" s="516"/>
      <c r="K33" s="50" t="str">
        <f ca="1">IF(LEFT(D33,2)="PA",VLOOKUP(D33,INDIRECT(#REF!),3,FALSE),"/")</f>
        <v>/</v>
      </c>
      <c r="L33" s="53" t="str">
        <f ca="1">IF(LEFT(D33,2)="PA",VLOOKUP(D33,INDIRECT(#REF!),4,FALSE),"/")</f>
        <v>/</v>
      </c>
      <c r="M33" s="18"/>
      <c r="N33" s="90"/>
      <c r="O33" s="110"/>
      <c r="P33" s="117"/>
      <c r="Q33" s="90">
        <v>4</v>
      </c>
      <c r="R33" s="91">
        <v>4</v>
      </c>
      <c r="S33" s="123">
        <v>4</v>
      </c>
      <c r="T33" s="125">
        <v>4</v>
      </c>
      <c r="U33" s="103">
        <v>4</v>
      </c>
      <c r="V33" s="104">
        <v>4</v>
      </c>
      <c r="W33" s="125"/>
      <c r="X33" s="114"/>
      <c r="Y33" s="104"/>
      <c r="Z33" s="120"/>
      <c r="AA33" s="114"/>
      <c r="AB33" s="104"/>
      <c r="AD33" s="149"/>
      <c r="AE33" s="150"/>
      <c r="AF33" s="151"/>
      <c r="AG33" s="149"/>
      <c r="AH33" s="150"/>
      <c r="AI33" s="151"/>
      <c r="AJ33" s="146"/>
      <c r="AK33" s="147"/>
      <c r="AL33" s="148"/>
      <c r="AM33" s="146"/>
      <c r="AN33" s="147"/>
      <c r="AO33" s="148"/>
      <c r="AQ33" s="187"/>
      <c r="AR33" s="188"/>
      <c r="AS33" s="189"/>
      <c r="AT33" s="187"/>
      <c r="AU33" s="188"/>
      <c r="AV33" s="189"/>
      <c r="AW33" s="187"/>
      <c r="AX33" s="188"/>
      <c r="AY33" s="189"/>
      <c r="AZ33" s="187"/>
      <c r="BA33" s="188"/>
      <c r="BB33" s="189"/>
      <c r="BC33" s="193"/>
      <c r="BD33" s="187"/>
      <c r="BE33" s="188"/>
      <c r="BF33" s="189"/>
      <c r="BG33" s="193"/>
      <c r="BH33" s="187"/>
      <c r="BI33" s="252">
        <v>333</v>
      </c>
      <c r="BJ33" s="252">
        <v>333</v>
      </c>
      <c r="BK33" s="253">
        <v>333</v>
      </c>
      <c r="BL33" s="193"/>
      <c r="BM33" s="197"/>
      <c r="BN33" s="198"/>
      <c r="BO33" s="199"/>
      <c r="BP33" s="197"/>
      <c r="BQ33" s="198"/>
      <c r="BR33" s="199"/>
      <c r="BS33" s="197"/>
      <c r="BT33" s="198"/>
      <c r="BU33" s="199"/>
      <c r="BV33" s="197"/>
      <c r="BW33" s="198"/>
      <c r="BX33" s="199"/>
      <c r="BY33" s="235"/>
      <c r="BZ33" s="197"/>
      <c r="CA33" s="198"/>
      <c r="CB33" s="199"/>
      <c r="CC33" s="193"/>
      <c r="CD33" s="197"/>
      <c r="CE33" s="198"/>
      <c r="CF33" s="198"/>
      <c r="CG33" s="199"/>
      <c r="CI33" s="4"/>
      <c r="CJ33" s="23"/>
      <c r="CK33" s="10" t="e">
        <f ca="1">IF( CJ33&gt;0, CJ33, IF( LEFT(D22,2)="PA", C22*MAX(0.12,L22)*AD22/1000*#REF!, 0 ) )</f>
        <v>#REF!</v>
      </c>
      <c r="CM33" s="203">
        <f t="shared" si="22"/>
        <v>0</v>
      </c>
      <c r="CN33" s="204">
        <f t="shared" si="12"/>
        <v>0</v>
      </c>
      <c r="CO33" s="205">
        <f t="shared" si="12"/>
        <v>0</v>
      </c>
      <c r="CP33" s="235"/>
      <c r="CQ33" s="203">
        <f t="shared" si="13"/>
        <v>0</v>
      </c>
      <c r="CR33" s="204">
        <f t="shared" si="14"/>
        <v>0</v>
      </c>
      <c r="CS33" s="205">
        <f t="shared" si="15"/>
        <v>333</v>
      </c>
      <c r="CT33" s="235"/>
      <c r="CU33" s="203">
        <f t="shared" si="16"/>
        <v>333</v>
      </c>
      <c r="CV33" s="204">
        <f t="shared" si="17"/>
        <v>0</v>
      </c>
      <c r="CW33" s="205">
        <f t="shared" si="18"/>
        <v>333</v>
      </c>
      <c r="CX33" s="235"/>
      <c r="CY33" s="203">
        <f t="shared" si="19"/>
        <v>333</v>
      </c>
      <c r="CZ33" s="204">
        <f t="shared" si="20"/>
        <v>0</v>
      </c>
      <c r="DA33" s="205">
        <f t="shared" si="21"/>
        <v>333</v>
      </c>
    </row>
    <row r="34" spans="1:109" ht="30" customHeight="1" x14ac:dyDescent="0.2">
      <c r="A34" s="129" t="s">
        <v>91</v>
      </c>
      <c r="B34" s="101" t="s">
        <v>80</v>
      </c>
      <c r="C34" s="98"/>
      <c r="D34" s="9" t="s">
        <v>14</v>
      </c>
      <c r="E34" s="107"/>
      <c r="F34" s="37" t="str">
        <f ca="1">IF(LEFT(D34,2)="PA",VLOOKUP(D34,INDIRECT(#REF!),5,FALSE),"/")</f>
        <v>/</v>
      </c>
      <c r="G34" s="41" t="str">
        <f ca="1">IF(LEFT(E34,2)="PF",VLOOKUP(E34,INDIRECT(#REF!),5,FALSE),"/")</f>
        <v>/</v>
      </c>
      <c r="H34" s="36" t="str">
        <f ca="1">IF(LEFT(E34,2)="PF",VLOOKUP(E34,INDIRECT(#REF!),6,FALSE),"/")</f>
        <v>/</v>
      </c>
      <c r="I34" s="515"/>
      <c r="J34" s="516"/>
      <c r="K34" s="50" t="str">
        <f ca="1">IF(LEFT(D34,2)="PA",VLOOKUP(D34,INDIRECT(#REF!),3,FALSE),"/")</f>
        <v>/</v>
      </c>
      <c r="L34" s="53" t="str">
        <f ca="1">IF(LEFT(D34,2)="PA",VLOOKUP(D34,INDIRECT(#REF!),4,FALSE),"/")</f>
        <v>/</v>
      </c>
      <c r="M34" s="18"/>
      <c r="N34" s="90"/>
      <c r="O34" s="110"/>
      <c r="P34" s="117"/>
      <c r="Q34" s="90"/>
      <c r="R34" s="91"/>
      <c r="S34" s="123"/>
      <c r="T34" s="125"/>
      <c r="U34" s="103"/>
      <c r="V34" s="104"/>
      <c r="W34" s="125"/>
      <c r="X34" s="114"/>
      <c r="Y34" s="104"/>
      <c r="Z34" s="120"/>
      <c r="AA34" s="114"/>
      <c r="AB34" s="104"/>
      <c r="AD34" s="149"/>
      <c r="AE34" s="150"/>
      <c r="AF34" s="151"/>
      <c r="AG34" s="149"/>
      <c r="AH34" s="150"/>
      <c r="AI34" s="151"/>
      <c r="AJ34" s="146"/>
      <c r="AK34" s="147"/>
      <c r="AL34" s="148"/>
      <c r="AM34" s="146"/>
      <c r="AN34" s="147"/>
      <c r="AO34" s="148"/>
      <c r="AQ34" s="187"/>
      <c r="AR34" s="188"/>
      <c r="AS34" s="189"/>
      <c r="AT34" s="187"/>
      <c r="AU34" s="188"/>
      <c r="AV34" s="189"/>
      <c r="AW34" s="187"/>
      <c r="AX34" s="188"/>
      <c r="AY34" s="189"/>
      <c r="AZ34" s="187"/>
      <c r="BA34" s="188"/>
      <c r="BB34" s="189"/>
      <c r="BC34" s="193"/>
      <c r="BD34" s="187"/>
      <c r="BE34" s="188"/>
      <c r="BF34" s="189"/>
      <c r="BG34" s="193"/>
      <c r="BH34" s="187"/>
      <c r="BI34" s="188"/>
      <c r="BJ34" s="188"/>
      <c r="BK34" s="189"/>
      <c r="BL34" s="193"/>
      <c r="BM34" s="197"/>
      <c r="BN34" s="198"/>
      <c r="BO34" s="199"/>
      <c r="BP34" s="197"/>
      <c r="BQ34" s="198"/>
      <c r="BR34" s="199"/>
      <c r="BS34" s="197"/>
      <c r="BT34" s="198"/>
      <c r="BU34" s="199"/>
      <c r="BV34" s="197"/>
      <c r="BW34" s="198"/>
      <c r="BX34" s="199"/>
      <c r="BY34" s="235"/>
      <c r="BZ34" s="197"/>
      <c r="CA34" s="198"/>
      <c r="CB34" s="199"/>
      <c r="CC34" s="193"/>
      <c r="CD34" s="197"/>
      <c r="CE34" s="198"/>
      <c r="CF34" s="198"/>
      <c r="CG34" s="199"/>
      <c r="CI34" s="4"/>
      <c r="CJ34" s="23"/>
      <c r="CK34" s="10" t="e">
        <f>IF( CJ34&gt;0, CJ34, IF( LEFT(#REF!,2)="PA",#REF!*MAX( 0.12,#REF!)*#REF!/1000*#REF!, 0 ) )</f>
        <v>#REF!</v>
      </c>
      <c r="CM34" s="203">
        <f t="shared" si="22"/>
        <v>0</v>
      </c>
      <c r="CN34" s="204">
        <f t="shared" si="12"/>
        <v>0</v>
      </c>
      <c r="CO34" s="205">
        <f t="shared" si="12"/>
        <v>0</v>
      </c>
      <c r="CP34" s="235"/>
      <c r="CQ34" s="203">
        <f t="shared" si="13"/>
        <v>0</v>
      </c>
      <c r="CR34" s="204">
        <f t="shared" si="14"/>
        <v>0</v>
      </c>
      <c r="CS34" s="205">
        <f t="shared" si="15"/>
        <v>0</v>
      </c>
      <c r="CT34" s="235"/>
      <c r="CU34" s="203">
        <f t="shared" si="16"/>
        <v>0</v>
      </c>
      <c r="CV34" s="204">
        <f t="shared" si="17"/>
        <v>0</v>
      </c>
      <c r="CW34" s="205">
        <f t="shared" si="18"/>
        <v>0</v>
      </c>
      <c r="CX34" s="235"/>
      <c r="CY34" s="203">
        <f t="shared" si="19"/>
        <v>0</v>
      </c>
      <c r="CZ34" s="204">
        <f t="shared" si="20"/>
        <v>0</v>
      </c>
      <c r="DA34" s="205">
        <f t="shared" si="21"/>
        <v>0</v>
      </c>
    </row>
    <row r="35" spans="1:109" ht="30" customHeight="1" x14ac:dyDescent="0.2">
      <c r="A35" s="129" t="s">
        <v>90</v>
      </c>
      <c r="B35" s="101" t="s">
        <v>83</v>
      </c>
      <c r="C35" s="98"/>
      <c r="D35" s="9" t="s">
        <v>14</v>
      </c>
      <c r="E35" s="107"/>
      <c r="F35" s="37" t="str">
        <f ca="1">IF(LEFT(D35,2)="PA",VLOOKUP(D35,INDIRECT(#REF!),5,FALSE),"/")</f>
        <v>/</v>
      </c>
      <c r="G35" s="41" t="str">
        <f ca="1">IF(LEFT(E35,2)="PF",VLOOKUP(E35,INDIRECT(#REF!),5,FALSE),"/")</f>
        <v>/</v>
      </c>
      <c r="H35" s="36" t="str">
        <f ca="1">IF(LEFT(E35,2)="PF",VLOOKUP(E35,INDIRECT(#REF!),6,FALSE),"/")</f>
        <v>/</v>
      </c>
      <c r="I35" s="515"/>
      <c r="J35" s="516"/>
      <c r="K35" s="50" t="str">
        <f ca="1">IF(LEFT(D35,2)="PA",VLOOKUP(D35,INDIRECT(#REF!),3,FALSE),"/")</f>
        <v>/</v>
      </c>
      <c r="L35" s="53" t="str">
        <f ca="1">IF(LEFT(D35,2)="PA",VLOOKUP(D35,INDIRECT(#REF!),4,FALSE),"/")</f>
        <v>/</v>
      </c>
      <c r="M35" s="18"/>
      <c r="N35" s="90"/>
      <c r="O35" s="110"/>
      <c r="P35" s="117"/>
      <c r="Q35" s="90"/>
      <c r="R35" s="91"/>
      <c r="S35" s="123"/>
      <c r="T35" s="125"/>
      <c r="U35" s="103"/>
      <c r="V35" s="104"/>
      <c r="W35" s="125"/>
      <c r="X35" s="114"/>
      <c r="Y35" s="104"/>
      <c r="Z35" s="120"/>
      <c r="AA35" s="114"/>
      <c r="AB35" s="104"/>
      <c r="AD35" s="149"/>
      <c r="AE35" s="150"/>
      <c r="AF35" s="151"/>
      <c r="AG35" s="149"/>
      <c r="AH35" s="150"/>
      <c r="AI35" s="151"/>
      <c r="AJ35" s="146"/>
      <c r="AK35" s="147"/>
      <c r="AL35" s="148"/>
      <c r="AM35" s="146"/>
      <c r="AN35" s="147"/>
      <c r="AO35" s="148"/>
      <c r="AQ35" s="187"/>
      <c r="AR35" s="188"/>
      <c r="AS35" s="189"/>
      <c r="AT35" s="187"/>
      <c r="AU35" s="188"/>
      <c r="AV35" s="189"/>
      <c r="AW35" s="187"/>
      <c r="AX35" s="188"/>
      <c r="AY35" s="189"/>
      <c r="AZ35" s="187"/>
      <c r="BA35" s="188"/>
      <c r="BB35" s="189"/>
      <c r="BC35" s="193"/>
      <c r="BD35" s="187"/>
      <c r="BE35" s="188"/>
      <c r="BF35" s="189"/>
      <c r="BG35" s="193"/>
      <c r="BH35" s="187"/>
      <c r="BI35" s="188"/>
      <c r="BJ35" s="188"/>
      <c r="BK35" s="189"/>
      <c r="BL35" s="193"/>
      <c r="BM35" s="197"/>
      <c r="BN35" s="198"/>
      <c r="BO35" s="199"/>
      <c r="BP35" s="197"/>
      <c r="BQ35" s="198"/>
      <c r="BR35" s="199"/>
      <c r="BS35" s="197"/>
      <c r="BT35" s="198"/>
      <c r="BU35" s="199"/>
      <c r="BV35" s="197"/>
      <c r="BW35" s="198"/>
      <c r="BX35" s="199"/>
      <c r="BY35" s="235"/>
      <c r="BZ35" s="197"/>
      <c r="CA35" s="198"/>
      <c r="CB35" s="199"/>
      <c r="CC35" s="193"/>
      <c r="CD35" s="197"/>
      <c r="CE35" s="198"/>
      <c r="CF35" s="198"/>
      <c r="CG35" s="199"/>
      <c r="CI35" s="4"/>
      <c r="CJ35" s="23"/>
      <c r="CK35" s="10" t="e">
        <f>IF( CJ35&gt;0, CJ35, IF( LEFT(#REF!,2)="PA",#REF!*MAX( 0.12,#REF!)*#REF!/1000*#REF!, 0 ) )</f>
        <v>#REF!</v>
      </c>
      <c r="CM35" s="203">
        <f t="shared" si="22"/>
        <v>0</v>
      </c>
      <c r="CN35" s="204">
        <f t="shared" si="12"/>
        <v>0</v>
      </c>
      <c r="CO35" s="205">
        <f t="shared" si="12"/>
        <v>0</v>
      </c>
      <c r="CP35" s="235"/>
      <c r="CQ35" s="203">
        <f t="shared" si="13"/>
        <v>0</v>
      </c>
      <c r="CR35" s="204">
        <f t="shared" si="14"/>
        <v>0</v>
      </c>
      <c r="CS35" s="205">
        <f t="shared" si="15"/>
        <v>0</v>
      </c>
      <c r="CT35" s="235"/>
      <c r="CU35" s="203">
        <f t="shared" si="16"/>
        <v>0</v>
      </c>
      <c r="CV35" s="204">
        <f t="shared" si="17"/>
        <v>0</v>
      </c>
      <c r="CW35" s="205">
        <f t="shared" si="18"/>
        <v>0</v>
      </c>
      <c r="CX35" s="235"/>
      <c r="CY35" s="203">
        <f t="shared" si="19"/>
        <v>0</v>
      </c>
      <c r="CZ35" s="204">
        <f t="shared" si="20"/>
        <v>0</v>
      </c>
      <c r="DA35" s="205">
        <f t="shared" si="21"/>
        <v>0</v>
      </c>
    </row>
    <row r="36" spans="1:109" ht="30" customHeight="1" thickBot="1" x14ac:dyDescent="0.25">
      <c r="A36" s="140" t="s">
        <v>93</v>
      </c>
      <c r="B36" s="219" t="s">
        <v>83</v>
      </c>
      <c r="C36" s="109"/>
      <c r="D36" s="22" t="s">
        <v>14</v>
      </c>
      <c r="E36" s="99"/>
      <c r="F36" s="220" t="str">
        <f ca="1">IF(LEFT(D36,2)="PA",VLOOKUP(D36,INDIRECT(#REF!),5,FALSE),"/")</f>
        <v>/</v>
      </c>
      <c r="G36" s="42" t="str">
        <f ca="1">IF(LEFT(E36,2)="PF",VLOOKUP(E36,INDIRECT(#REF!),5,FALSE),"/")</f>
        <v>/</v>
      </c>
      <c r="H36" s="39" t="str">
        <f ca="1">IF(LEFT(E36,2)="PF",VLOOKUP(E36,INDIRECT(#REF!),6,FALSE),"/")</f>
        <v>/</v>
      </c>
      <c r="I36" s="511"/>
      <c r="J36" s="512"/>
      <c r="K36" s="51" t="str">
        <f ca="1">IF(LEFT(D36,2)="PA",VLOOKUP(D36,INDIRECT(#REF!),3,FALSE),"/")</f>
        <v>/</v>
      </c>
      <c r="L36" s="54" t="str">
        <f ca="1">IF(LEFT(D36,2)="PA",VLOOKUP(D36,INDIRECT(#REF!),4,FALSE),"/")</f>
        <v>/</v>
      </c>
      <c r="M36" s="18"/>
      <c r="N36" s="20"/>
      <c r="O36" s="111"/>
      <c r="P36" s="118"/>
      <c r="Q36" s="20"/>
      <c r="R36" s="21"/>
      <c r="S36" s="124"/>
      <c r="T36" s="126"/>
      <c r="U36" s="105"/>
      <c r="V36" s="106"/>
      <c r="W36" s="126"/>
      <c r="X36" s="116"/>
      <c r="Y36" s="106"/>
      <c r="Z36" s="122"/>
      <c r="AA36" s="116"/>
      <c r="AB36" s="106"/>
      <c r="AD36" s="163"/>
      <c r="AE36" s="164"/>
      <c r="AF36" s="165"/>
      <c r="AG36" s="163"/>
      <c r="AH36" s="164"/>
      <c r="AI36" s="165"/>
      <c r="AJ36" s="157"/>
      <c r="AK36" s="158"/>
      <c r="AL36" s="159"/>
      <c r="AM36" s="157"/>
      <c r="AN36" s="158"/>
      <c r="AO36" s="159"/>
      <c r="AQ36" s="190"/>
      <c r="AR36" s="191"/>
      <c r="AS36" s="192"/>
      <c r="AT36" s="190"/>
      <c r="AU36" s="191"/>
      <c r="AV36" s="192"/>
      <c r="AW36" s="190"/>
      <c r="AX36" s="191"/>
      <c r="AY36" s="192"/>
      <c r="AZ36" s="190"/>
      <c r="BA36" s="191"/>
      <c r="BB36" s="192"/>
      <c r="BC36" s="193"/>
      <c r="BD36" s="190"/>
      <c r="BE36" s="191"/>
      <c r="BF36" s="192"/>
      <c r="BG36" s="193"/>
      <c r="BH36" s="190"/>
      <c r="BI36" s="191"/>
      <c r="BJ36" s="191"/>
      <c r="BK36" s="192"/>
      <c r="BL36" s="193"/>
      <c r="BM36" s="200"/>
      <c r="BN36" s="201"/>
      <c r="BO36" s="202"/>
      <c r="BP36" s="200"/>
      <c r="BQ36" s="201"/>
      <c r="BR36" s="202"/>
      <c r="BS36" s="200"/>
      <c r="BT36" s="201"/>
      <c r="BU36" s="202"/>
      <c r="BV36" s="200"/>
      <c r="BW36" s="201"/>
      <c r="BX36" s="202"/>
      <c r="BY36" s="235"/>
      <c r="BZ36" s="200"/>
      <c r="CA36" s="201"/>
      <c r="CB36" s="202"/>
      <c r="CC36" s="193"/>
      <c r="CD36" s="200"/>
      <c r="CE36" s="201"/>
      <c r="CF36" s="201"/>
      <c r="CG36" s="202"/>
      <c r="CI36" s="29"/>
      <c r="CJ36" s="79"/>
      <c r="CK36" s="28">
        <f>IF( CJ36&gt;0, CJ36, IF( LEFT(D23,2)="PA", C23*MAX(0.12,L23)*AD23/1000*#REF!, 0 ) )</f>
        <v>0</v>
      </c>
      <c r="CM36" s="206">
        <f t="shared" si="22"/>
        <v>0</v>
      </c>
      <c r="CN36" s="207">
        <f t="shared" si="12"/>
        <v>0</v>
      </c>
      <c r="CO36" s="208">
        <f t="shared" si="12"/>
        <v>0</v>
      </c>
      <c r="CP36" s="235"/>
      <c r="CQ36" s="206">
        <f t="shared" si="13"/>
        <v>0</v>
      </c>
      <c r="CR36" s="207">
        <f t="shared" si="14"/>
        <v>0</v>
      </c>
      <c r="CS36" s="208">
        <f t="shared" si="15"/>
        <v>0</v>
      </c>
      <c r="CT36" s="235"/>
      <c r="CU36" s="206">
        <f t="shared" si="16"/>
        <v>0</v>
      </c>
      <c r="CV36" s="207">
        <f t="shared" si="17"/>
        <v>0</v>
      </c>
      <c r="CW36" s="208">
        <f t="shared" si="18"/>
        <v>0</v>
      </c>
      <c r="CX36" s="235"/>
      <c r="CY36" s="206">
        <f t="shared" si="19"/>
        <v>0</v>
      </c>
      <c r="CZ36" s="207">
        <f t="shared" si="20"/>
        <v>0</v>
      </c>
      <c r="DA36" s="208">
        <f t="shared" si="21"/>
        <v>0</v>
      </c>
    </row>
    <row r="37" spans="1:109" ht="10.15" customHeight="1" thickBot="1" x14ac:dyDescent="0.25">
      <c r="B37" s="30"/>
      <c r="D37" s="17"/>
      <c r="E37" s="16"/>
      <c r="F37" s="17"/>
      <c r="G37" s="16"/>
      <c r="H37" s="16"/>
      <c r="I37" s="12"/>
      <c r="J37" s="12"/>
      <c r="K37" s="14"/>
      <c r="L37" s="18"/>
      <c r="M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</row>
    <row r="38" spans="1:109" ht="30" customHeight="1" thickBot="1" x14ac:dyDescent="0.25">
      <c r="C38" s="3"/>
      <c r="D38" s="3"/>
      <c r="E38" s="3"/>
      <c r="F38" s="3"/>
      <c r="G38" s="3"/>
      <c r="H38" s="3"/>
      <c r="M38" s="43"/>
      <c r="CM38" s="57" t="e">
        <f ca="1">SUM(CM10:CM36)</f>
        <v>#REF!</v>
      </c>
      <c r="CN38" s="57" t="e">
        <f ca="1">SUM(CN10:CN36)</f>
        <v>#REF!</v>
      </c>
      <c r="CO38" s="57" t="e">
        <f ca="1">SUM(CO10:CO36)</f>
        <v>#REF!</v>
      </c>
      <c r="CQ38" s="57" t="e">
        <f ca="1">SUM(CQ10:CQ36)</f>
        <v>#REF!</v>
      </c>
      <c r="CR38" s="57" t="e">
        <f ca="1">SUM(CR10:CR36)</f>
        <v>#REF!</v>
      </c>
      <c r="CS38" s="57" t="e">
        <f ca="1">SUM(CS10:CS36)</f>
        <v>#REF!</v>
      </c>
      <c r="CU38" s="57" t="e">
        <f ca="1">SUM(CU10:CU36)</f>
        <v>#REF!</v>
      </c>
      <c r="CV38" s="57" t="e">
        <f ca="1">SUM(CV10:CV36)</f>
        <v>#REF!</v>
      </c>
      <c r="CW38" s="57" t="e">
        <f ca="1">SUM(CW10:CW36)</f>
        <v>#REF!</v>
      </c>
      <c r="CY38" s="57" t="e">
        <f ca="1">SUM(CY10:CY36)</f>
        <v>#REF!</v>
      </c>
      <c r="CZ38" s="57" t="e">
        <f ca="1">SUM(CZ10:CZ36)</f>
        <v>#REF!</v>
      </c>
      <c r="DA38" s="57" t="e">
        <f ca="1">SUM(DA10:DA36)</f>
        <v>#REF!</v>
      </c>
      <c r="DD38" s="530" t="s">
        <v>12</v>
      </c>
      <c r="DE38" s="531"/>
    </row>
    <row r="39" spans="1:109" ht="10.15" customHeight="1" thickBot="1" x14ac:dyDescent="0.25">
      <c r="C39" s="3"/>
      <c r="D39" s="3"/>
      <c r="E39" s="3"/>
      <c r="DD39" s="1"/>
      <c r="DE39" s="1"/>
    </row>
    <row r="40" spans="1:109" ht="30" customHeight="1" thickBot="1" x14ac:dyDescent="0.25">
      <c r="A40" s="3"/>
      <c r="C40" s="3"/>
      <c r="D40" s="3"/>
      <c r="E40" s="3"/>
      <c r="CM40" s="58" t="e">
        <f>ROUND(1/(((100-#REF!)/100)*#REF!/100),3)</f>
        <v>#REF!</v>
      </c>
      <c r="CN40" s="58" t="e">
        <f>ROUND(1/(((100-#REF!)/100)*#REF!/100),3)</f>
        <v>#REF!</v>
      </c>
      <c r="CO40" s="58" t="e">
        <f>ROUND(1/(((100-#REF!)/100)*#REF!/100),3)</f>
        <v>#REF!</v>
      </c>
      <c r="CQ40" s="58" t="e">
        <f>ROUND(1/(((100-#REF!)/100)*#REF!/100),3)</f>
        <v>#REF!</v>
      </c>
      <c r="CR40" s="58" t="e">
        <f>ROUND(1/(((100-#REF!)/100)*#REF!/100),3)</f>
        <v>#REF!</v>
      </c>
      <c r="CS40" s="58" t="e">
        <f>ROUND(1/(((100-#REF!)/100)*#REF!/100),3)</f>
        <v>#REF!</v>
      </c>
      <c r="CU40" s="58" t="e">
        <f>ROUND(1/(((100-#REF!)/100)*#REF!/100),3)</f>
        <v>#REF!</v>
      </c>
      <c r="CV40" s="58" t="e">
        <f>ROUND(1/(((100-#REF!)/100)*#REF!/100),3)</f>
        <v>#REF!</v>
      </c>
      <c r="CW40" s="58" t="e">
        <f>ROUND(1/(((100-#REF!)/100)*#REF!/100),3)</f>
        <v>#REF!</v>
      </c>
      <c r="CY40" s="58" t="e">
        <f>ROUND(1/(((100-#REF!)/100)*#REF!/100),3)</f>
        <v>#REF!</v>
      </c>
      <c r="CZ40" s="58" t="e">
        <f>ROUND(1/(((100-#REF!)/100)*#REF!/100),3)</f>
        <v>#REF!</v>
      </c>
      <c r="DA40" s="58" t="e">
        <f>ROUND(1/(((100-#REF!)/100)*#REF!/100),3)</f>
        <v>#REF!</v>
      </c>
      <c r="DD40" s="532" t="s">
        <v>13</v>
      </c>
      <c r="DE40" s="533"/>
    </row>
    <row r="41" spans="1:109" ht="10.15" customHeight="1" thickBot="1" x14ac:dyDescent="0.25">
      <c r="C41" s="3"/>
      <c r="D41" s="3"/>
      <c r="E41" s="3"/>
      <c r="M41" s="46"/>
      <c r="DD41" s="24"/>
      <c r="DE41" s="24"/>
    </row>
    <row r="42" spans="1:109" ht="30" customHeight="1" x14ac:dyDescent="0.2">
      <c r="C42" s="3"/>
      <c r="D42" s="3"/>
      <c r="E42" s="3"/>
      <c r="CM42" s="59" t="e">
        <f ca="1">CM38*CM40</f>
        <v>#REF!</v>
      </c>
      <c r="CN42" s="59" t="e">
        <f ca="1">CN38*CN40</f>
        <v>#REF!</v>
      </c>
      <c r="CO42" s="59" t="e">
        <f ca="1">CO38*CO40</f>
        <v>#REF!</v>
      </c>
      <c r="CQ42" s="59" t="e">
        <f ca="1">CQ38*CQ40</f>
        <v>#REF!</v>
      </c>
      <c r="CR42" s="59" t="e">
        <f ca="1">CR38*CR40</f>
        <v>#REF!</v>
      </c>
      <c r="CS42" s="59" t="e">
        <f ca="1">CS38*CS40</f>
        <v>#REF!</v>
      </c>
      <c r="CU42" s="59" t="e">
        <f ca="1">CU38*CU40</f>
        <v>#REF!</v>
      </c>
      <c r="CV42" s="59" t="e">
        <f ca="1">CV38*CV40</f>
        <v>#REF!</v>
      </c>
      <c r="CW42" s="59" t="e">
        <f ca="1">CW38*CW40</f>
        <v>#REF!</v>
      </c>
      <c r="CY42" s="59" t="e">
        <f ca="1">CY38*CY40</f>
        <v>#REF!</v>
      </c>
      <c r="CZ42" s="59" t="e">
        <f ca="1">CZ38*CZ40</f>
        <v>#REF!</v>
      </c>
      <c r="DA42" s="59" t="e">
        <f ca="1">DA38*DA40</f>
        <v>#REF!</v>
      </c>
      <c r="DD42" s="534" t="s">
        <v>28</v>
      </c>
      <c r="DE42" s="535"/>
    </row>
    <row r="43" spans="1:109" ht="30" customHeight="1" thickBot="1" x14ac:dyDescent="0.25">
      <c r="CM43" s="60" t="e">
        <f ca="1">"PMR"&amp;#REF!&amp;"% = "&amp;ROUND(100*(CM38/(CM42*((100-#REF!)/100))),1)&amp;" %"</f>
        <v>#REF!</v>
      </c>
      <c r="CN43" s="60" t="e">
        <f ca="1">"PMR"&amp;#REF!&amp;"% = "&amp;ROUND(100*(CN38/(CN42*((100-#REF!)/100))),1)&amp;" %"</f>
        <v>#REF!</v>
      </c>
      <c r="CO43" s="60" t="e">
        <f ca="1">"PMR"&amp;#REF!&amp;"% = "&amp;ROUND(100*(CO38/(CO42*((100-#REF!)/100))),1)&amp;" %"</f>
        <v>#REF!</v>
      </c>
      <c r="CQ43" s="60" t="e">
        <f ca="1">"PMR"&amp;#REF!&amp;"% = "&amp;ROUND(100*(CQ38/(CQ42*((100-#REF!)/100))),1)&amp;" %"</f>
        <v>#REF!</v>
      </c>
      <c r="CR43" s="60" t="e">
        <f ca="1">"PMR"&amp;#REF!&amp;"% = "&amp;ROUND(100*(CR38/(CR42*((100-#REF!)/100))),1)&amp;" %"</f>
        <v>#REF!</v>
      </c>
      <c r="CS43" s="60" t="e">
        <f ca="1">"PMR"&amp;#REF!&amp;"% = "&amp;ROUND(100*(CS38/(CS42*((100-#REF!)/100))),1)&amp;" %"</f>
        <v>#REF!</v>
      </c>
      <c r="CU43" s="60" t="e">
        <f ca="1">"PMR"&amp;#REF!&amp;"% = "&amp;ROUND(100*(CU38/(CU42*((100-#REF!)/100))),1)&amp;" %"</f>
        <v>#REF!</v>
      </c>
      <c r="CV43" s="60" t="e">
        <f ca="1">"PMR"&amp;#REF!&amp;"% = "&amp;ROUND(100*(CV38/(CV42*((100-#REF!)/100))),1)&amp;" %"</f>
        <v>#REF!</v>
      </c>
      <c r="CW43" s="60" t="e">
        <f ca="1">"PMR"&amp;#REF!&amp;"% = "&amp;ROUND(100*(CW38/(CW42*((100-#REF!)/100))),1)&amp;" %"</f>
        <v>#REF!</v>
      </c>
      <c r="CY43" s="60" t="e">
        <f ca="1">"PMR"&amp;#REF!&amp;"% = "&amp;ROUND(100*(CY38/(CY42*((100-#REF!)/100))),1)&amp;" %"</f>
        <v>#REF!</v>
      </c>
      <c r="CZ43" s="60" t="e">
        <f ca="1">"PMR"&amp;#REF!&amp;"% = "&amp;ROUND(100*(CZ38/(CZ42*((100-#REF!)/100))),1)&amp;" %"</f>
        <v>#REF!</v>
      </c>
      <c r="DA43" s="60" t="e">
        <f ca="1">"PMR"&amp;#REF!&amp;"% = "&amp;ROUND(100*(DA38/(DA42*((100-#REF!)/100))),1)&amp;" %"</f>
        <v>#REF!</v>
      </c>
      <c r="DD43" s="536"/>
      <c r="DE43" s="537"/>
    </row>
    <row r="44" spans="1:109" ht="10.15" customHeight="1" thickBot="1" x14ac:dyDescent="0.25">
      <c r="DD44" s="15"/>
      <c r="DE44" s="15"/>
    </row>
    <row r="45" spans="1:109" ht="30" customHeight="1" x14ac:dyDescent="0.2">
      <c r="CM45" s="61" t="e">
        <f ca="1">ROUNDUP(CM42,0)</f>
        <v>#REF!</v>
      </c>
      <c r="CN45" s="61" t="e">
        <f ca="1">ROUNDUP(CN42,0)</f>
        <v>#REF!</v>
      </c>
      <c r="CO45" s="61" t="e">
        <f ca="1">ROUNDUP(CO42,0)</f>
        <v>#REF!</v>
      </c>
      <c r="CQ45" s="61" t="e">
        <f ca="1">ROUNDUP(CQ42,0)</f>
        <v>#REF!</v>
      </c>
      <c r="CR45" s="61" t="e">
        <f ca="1">ROUNDUP(CR42,0)</f>
        <v>#REF!</v>
      </c>
      <c r="CS45" s="61" t="e">
        <f ca="1">ROUNDUP(CS42,0)</f>
        <v>#REF!</v>
      </c>
      <c r="CU45" s="61" t="e">
        <f ca="1">ROUNDUP(CU42,0)</f>
        <v>#REF!</v>
      </c>
      <c r="CV45" s="61" t="e">
        <f ca="1">ROUNDUP(CV42,0)</f>
        <v>#REF!</v>
      </c>
      <c r="CW45" s="61" t="e">
        <f ca="1">ROUNDUP(CW42,0)</f>
        <v>#REF!</v>
      </c>
      <c r="CY45" s="61" t="e">
        <f ca="1">ROUNDUP(CY42,0)</f>
        <v>#REF!</v>
      </c>
      <c r="CZ45" s="61" t="e">
        <f ca="1">ROUNDUP(CZ42,0)</f>
        <v>#REF!</v>
      </c>
      <c r="DA45" s="61" t="e">
        <f ca="1">ROUNDUP(DA42,0)</f>
        <v>#REF!</v>
      </c>
      <c r="DD45" s="538" t="s">
        <v>29</v>
      </c>
      <c r="DE45" s="539"/>
    </row>
    <row r="46" spans="1:109" ht="30" customHeight="1" thickBot="1" x14ac:dyDescent="0.25">
      <c r="CM46" s="62" t="e">
        <f ca="1">"PMR"&amp;#REF!&amp;"% = "&amp;ROUND(100*(CM38/(CM45*((100-#REF!)/100))),1)&amp;" %"</f>
        <v>#REF!</v>
      </c>
      <c r="CN46" s="62" t="e">
        <f ca="1">"PMR"&amp;#REF!&amp;"% = "&amp;ROUND(100*(CN38/(CN45*((100-#REF!)/100))),1)&amp;" %"</f>
        <v>#REF!</v>
      </c>
      <c r="CO46" s="62" t="e">
        <f ca="1">"PMR"&amp;#REF!&amp;"% = "&amp;ROUND(100*(CO38/(CO45*((100-#REF!)/100))),1)&amp;" %"</f>
        <v>#REF!</v>
      </c>
      <c r="CQ46" s="62" t="e">
        <f ca="1">"PMR"&amp;#REF!&amp;"% = "&amp;ROUND(100*(CQ38/(CQ45*((100-#REF!)/100))),1)&amp;" %"</f>
        <v>#REF!</v>
      </c>
      <c r="CR46" s="62" t="e">
        <f ca="1">"PMR"&amp;#REF!&amp;"% = "&amp;ROUND(100*(CR38/(CR45*((100-#REF!)/100))),1)&amp;" %"</f>
        <v>#REF!</v>
      </c>
      <c r="CS46" s="62" t="e">
        <f ca="1">"PMR"&amp;#REF!&amp;"% = "&amp;ROUND(100*(CS38/(CS45*((100-#REF!)/100))),1)&amp;" %"</f>
        <v>#REF!</v>
      </c>
      <c r="CU46" s="62" t="e">
        <f ca="1">"PMR"&amp;#REF!&amp;"% = "&amp;ROUND(100*(CU38/(CU45*((100-#REF!)/100))),1)&amp;" %"</f>
        <v>#REF!</v>
      </c>
      <c r="CV46" s="62" t="e">
        <f ca="1">"PMR"&amp;#REF!&amp;"% = "&amp;ROUND(100*(CV38/(CV45*((100-#REF!)/100))),1)&amp;" %"</f>
        <v>#REF!</v>
      </c>
      <c r="CW46" s="62" t="e">
        <f ca="1">"PMR"&amp;#REF!&amp;"% = "&amp;ROUND(100*(CW38/(CW45*((100-#REF!)/100))),1)&amp;" %"</f>
        <v>#REF!</v>
      </c>
      <c r="CY46" s="62" t="e">
        <f ca="1">"PMR"&amp;#REF!&amp;"% = "&amp;ROUND(100*(CY38/(CY45*((100-#REF!)/100))),1)&amp;" %"</f>
        <v>#REF!</v>
      </c>
      <c r="CZ46" s="62" t="e">
        <f ca="1">"PMR"&amp;#REF!&amp;"% = "&amp;ROUND(100*(CZ38/(CZ45*((100-#REF!)/100))),1)&amp;" %"</f>
        <v>#REF!</v>
      </c>
      <c r="DA46" s="62" t="e">
        <f ca="1">"PMR"&amp;#REF!&amp;"% = "&amp;ROUND(100*(DA38/(DA45*((100-#REF!)/100))),1)&amp;" %"</f>
        <v>#REF!</v>
      </c>
      <c r="DD46" s="540"/>
      <c r="DE46" s="541"/>
    </row>
    <row r="47" spans="1:109" ht="10.15" customHeight="1" thickBot="1" x14ac:dyDescent="0.25">
      <c r="DD47" s="15"/>
      <c r="DE47" s="15"/>
    </row>
    <row r="48" spans="1:109" ht="30" customHeight="1" x14ac:dyDescent="0.2">
      <c r="CM48" s="63">
        <v>31</v>
      </c>
      <c r="CN48" s="63">
        <v>31</v>
      </c>
      <c r="CO48" s="63">
        <v>31</v>
      </c>
      <c r="CQ48" s="63">
        <v>109</v>
      </c>
      <c r="CR48" s="63">
        <v>109</v>
      </c>
      <c r="CS48" s="63">
        <v>109</v>
      </c>
      <c r="CU48" s="63"/>
      <c r="CV48" s="63"/>
      <c r="CW48" s="63"/>
      <c r="CY48" s="63"/>
      <c r="CZ48" s="63"/>
      <c r="DA48" s="63"/>
      <c r="DD48" s="526" t="s">
        <v>30</v>
      </c>
      <c r="DE48" s="527"/>
    </row>
    <row r="49" spans="43:109" ht="30" customHeight="1" thickBot="1" x14ac:dyDescent="0.25">
      <c r="CM49" s="64" t="e">
        <f ca="1">"PMR"&amp;#REF!&amp;"% = "&amp;ROUND(100*(CM38/(CM48*((100-#REF!)/100))),1)&amp;" %"</f>
        <v>#REF!</v>
      </c>
      <c r="CN49" s="64" t="e">
        <f ca="1">"PMR"&amp;#REF!&amp;"% = "&amp;ROUND(100*(CN38/(CN48*((100-#REF!)/100))),1)&amp;" %"</f>
        <v>#REF!</v>
      </c>
      <c r="CO49" s="64" t="e">
        <f ca="1">"PMR"&amp;#REF!&amp;"% = "&amp;ROUND(100*(CO38/(CO48*((100-#REF!)/100))),1)&amp;" %"</f>
        <v>#REF!</v>
      </c>
      <c r="CQ49" s="64" t="e">
        <f ca="1">"PMR"&amp;#REF!&amp;"% = "&amp;ROUND(100*(CQ38/(CQ48*((100-#REF!)/100))),1)&amp;" %"</f>
        <v>#REF!</v>
      </c>
      <c r="CR49" s="64" t="e">
        <f ca="1">"PMR"&amp;#REF!&amp;"% = "&amp;ROUND(100*(CR38/(CR48*((100-#REF!)/100))),1)&amp;" %"</f>
        <v>#REF!</v>
      </c>
      <c r="CS49" s="64" t="e">
        <f ca="1">"PMR"&amp;#REF!&amp;"% = "&amp;ROUND(100*(CS38/(CS48*((100-#REF!)/100))),1)&amp;" %"</f>
        <v>#REF!</v>
      </c>
      <c r="CU49" s="64" t="e">
        <f ca="1">"PMR"&amp;#REF!&amp;"% = "&amp;ROUND(100*(CU38/(CU48*((100-#REF!)/100))),1)&amp;" %"</f>
        <v>#REF!</v>
      </c>
      <c r="CV49" s="64" t="e">
        <f ca="1">"PMR"&amp;#REF!&amp;"% = "&amp;ROUND(100*(CV38/(CV48*((100-#REF!)/100))),1)&amp;" %"</f>
        <v>#REF!</v>
      </c>
      <c r="CW49" s="64" t="e">
        <f ca="1">"PMR"&amp;#REF!&amp;"% = "&amp;ROUND(100*(CW38/(CW48*((100-#REF!)/100))),1)&amp;" %"</f>
        <v>#REF!</v>
      </c>
      <c r="CY49" s="64" t="e">
        <f ca="1">"PMR"&amp;#REF!&amp;"% = "&amp;ROUND(100*(CY38/(CY48*((100-#REF!)/100))),1)&amp;" %"</f>
        <v>#REF!</v>
      </c>
      <c r="CZ49" s="64" t="e">
        <f ca="1">"PMR"&amp;#REF!&amp;"% = "&amp;ROUND(100*(CZ38/(CZ48*((100-#REF!)/100))),1)&amp;" %"</f>
        <v>#REF!</v>
      </c>
      <c r="DA49" s="64" t="e">
        <f ca="1">"PMR"&amp;#REF!&amp;"% = "&amp;ROUND(100*(DA38/(DA48*((100-#REF!)/100))),1)&amp;" %"</f>
        <v>#REF!</v>
      </c>
      <c r="DD49" s="528"/>
      <c r="DE49" s="529"/>
    </row>
    <row r="52" spans="43:109" x14ac:dyDescent="0.2">
      <c r="CM52" s="3"/>
      <c r="CN52" s="3"/>
      <c r="CO52" s="3"/>
      <c r="CQ52" s="3"/>
      <c r="CR52" s="3"/>
      <c r="CS52" s="3"/>
      <c r="CU52" s="3"/>
      <c r="CV52" s="3"/>
      <c r="CW52" s="3"/>
      <c r="CY52" s="3"/>
      <c r="CZ52" s="3"/>
      <c r="DA52" s="3"/>
    </row>
    <row r="53" spans="43:109" x14ac:dyDescent="0.2">
      <c r="CM53" s="3"/>
      <c r="CN53" s="3"/>
      <c r="CO53" s="3"/>
      <c r="CQ53" s="3"/>
      <c r="CR53" s="3"/>
      <c r="CS53" s="3"/>
      <c r="CU53" s="3"/>
      <c r="CV53" s="3"/>
      <c r="CW53" s="3"/>
      <c r="CY53" s="3"/>
      <c r="CZ53" s="3"/>
      <c r="DA53" s="3"/>
    </row>
    <row r="54" spans="43:109" x14ac:dyDescent="0.2">
      <c r="CM54" s="3"/>
      <c r="CN54" s="3"/>
      <c r="CO54" s="3"/>
      <c r="CQ54" s="3"/>
      <c r="CR54" s="3"/>
      <c r="CS54" s="3"/>
      <c r="CU54" s="3"/>
      <c r="CV54" s="3"/>
      <c r="CW54" s="3"/>
      <c r="CY54" s="3"/>
      <c r="CZ54" s="3"/>
      <c r="DA54" s="3"/>
    </row>
    <row r="55" spans="43:109" x14ac:dyDescent="0.2">
      <c r="CM55" s="3"/>
      <c r="CN55" s="3"/>
      <c r="CO55" s="3"/>
      <c r="CQ55" s="3"/>
      <c r="CR55" s="3"/>
      <c r="CS55" s="3"/>
      <c r="CU55" s="3"/>
      <c r="CV55" s="3"/>
      <c r="CW55" s="3"/>
      <c r="CY55" s="3"/>
      <c r="CZ55" s="3"/>
      <c r="DA55" s="3"/>
    </row>
    <row r="56" spans="43:109" x14ac:dyDescent="0.2">
      <c r="CM56" s="3"/>
      <c r="CN56" s="3"/>
      <c r="CO56" s="3"/>
      <c r="CQ56" s="3"/>
      <c r="CR56" s="3"/>
      <c r="CS56" s="3"/>
      <c r="CU56" s="3"/>
      <c r="CV56" s="3"/>
      <c r="CW56" s="3"/>
      <c r="CY56" s="3"/>
      <c r="CZ56" s="3"/>
      <c r="DA56" s="3"/>
    </row>
    <row r="57" spans="43:109" x14ac:dyDescent="0.2">
      <c r="CM57" s="3"/>
      <c r="CN57" s="3"/>
      <c r="CO57" s="3"/>
      <c r="CQ57" s="3"/>
      <c r="CR57" s="3"/>
      <c r="CS57" s="3"/>
      <c r="CU57" s="3"/>
      <c r="CV57" s="3"/>
      <c r="CW57" s="3"/>
      <c r="CY57" s="3"/>
      <c r="CZ57" s="3"/>
      <c r="DA57" s="3"/>
    </row>
    <row r="58" spans="43:109" x14ac:dyDescent="0.2">
      <c r="CM58" s="3"/>
      <c r="CN58" s="3"/>
      <c r="CO58" s="3"/>
      <c r="CQ58" s="3"/>
      <c r="CR58" s="3"/>
      <c r="CS58" s="3"/>
      <c r="CU58" s="3"/>
      <c r="CV58" s="3"/>
      <c r="CW58" s="3"/>
      <c r="CY58" s="3"/>
      <c r="CZ58" s="3"/>
      <c r="DA58" s="3"/>
    </row>
    <row r="59" spans="43:109" x14ac:dyDescent="0.2"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Z59" s="3"/>
      <c r="CA59" s="3"/>
      <c r="CB59" s="3"/>
      <c r="CC59" s="3"/>
      <c r="CD59" s="3"/>
      <c r="CE59" s="3"/>
      <c r="CF59" s="3"/>
      <c r="CG59" s="3"/>
      <c r="CI59" s="3"/>
      <c r="CJ59" s="3"/>
      <c r="CK59" s="3"/>
      <c r="CM59" s="3"/>
      <c r="CN59" s="3"/>
      <c r="CO59" s="3"/>
      <c r="CQ59" s="3"/>
      <c r="CR59" s="3"/>
      <c r="CS59" s="3"/>
      <c r="CU59" s="3"/>
      <c r="CV59" s="3"/>
      <c r="CW59" s="3"/>
      <c r="CY59" s="3"/>
      <c r="CZ59" s="3"/>
      <c r="DA59" s="3"/>
    </row>
    <row r="60" spans="43:109" x14ac:dyDescent="0.2"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Z60" s="3"/>
      <c r="CA60" s="3"/>
      <c r="CB60" s="3"/>
      <c r="CC60" s="3"/>
      <c r="CD60" s="3"/>
      <c r="CE60" s="3"/>
      <c r="CF60" s="3"/>
      <c r="CG60" s="3"/>
      <c r="CI60" s="3"/>
      <c r="CJ60" s="3"/>
      <c r="CK60" s="3"/>
      <c r="CM60" s="3"/>
      <c r="CN60" s="3"/>
      <c r="CO60" s="3"/>
      <c r="CQ60" s="3"/>
      <c r="CR60" s="3"/>
      <c r="CS60" s="3"/>
      <c r="CU60" s="3"/>
      <c r="CV60" s="3"/>
      <c r="CW60" s="3"/>
      <c r="CY60" s="3"/>
      <c r="CZ60" s="3"/>
      <c r="DA60" s="3"/>
    </row>
    <row r="61" spans="43:109" x14ac:dyDescent="0.2"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Z61" s="3"/>
      <c r="CA61" s="3"/>
      <c r="CB61" s="3"/>
      <c r="CC61" s="3"/>
      <c r="CD61" s="3"/>
      <c r="CE61" s="3"/>
      <c r="CF61" s="3"/>
      <c r="CG61" s="3"/>
      <c r="CI61" s="3"/>
      <c r="CJ61" s="3"/>
      <c r="CK61" s="3"/>
      <c r="CM61" s="3"/>
      <c r="CN61" s="3"/>
      <c r="CO61" s="3"/>
      <c r="CQ61" s="3"/>
      <c r="CR61" s="3"/>
      <c r="CS61" s="3"/>
      <c r="CU61" s="3"/>
      <c r="CV61" s="3"/>
      <c r="CW61" s="3"/>
      <c r="CY61" s="3"/>
      <c r="CZ61" s="3"/>
      <c r="DA61" s="3"/>
    </row>
    <row r="62" spans="43:109" x14ac:dyDescent="0.2"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Z62" s="3"/>
      <c r="CA62" s="3"/>
      <c r="CB62" s="3"/>
      <c r="CC62" s="3"/>
      <c r="CD62" s="3"/>
      <c r="CE62" s="3"/>
      <c r="CF62" s="3"/>
      <c r="CG62" s="3"/>
      <c r="CI62" s="3"/>
      <c r="CJ62" s="3"/>
      <c r="CK62" s="3"/>
      <c r="CM62" s="3"/>
      <c r="CN62" s="3"/>
      <c r="CO62" s="3"/>
      <c r="CQ62" s="3"/>
      <c r="CR62" s="3"/>
      <c r="CS62" s="3"/>
      <c r="CU62" s="3"/>
      <c r="CV62" s="3"/>
      <c r="CW62" s="3"/>
      <c r="CY62" s="3"/>
      <c r="CZ62" s="3"/>
      <c r="DA62" s="3"/>
    </row>
    <row r="63" spans="43:109" x14ac:dyDescent="0.2"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Z63" s="3"/>
      <c r="CA63" s="3"/>
      <c r="CB63" s="3"/>
      <c r="CC63" s="3"/>
      <c r="CD63" s="3"/>
      <c r="CE63" s="3"/>
      <c r="CF63" s="3"/>
      <c r="CG63" s="3"/>
      <c r="CI63" s="3"/>
      <c r="CJ63" s="3"/>
      <c r="CK63" s="3"/>
      <c r="CM63" s="3"/>
      <c r="CN63" s="3"/>
      <c r="CO63" s="3"/>
      <c r="CQ63" s="3"/>
      <c r="CR63" s="3"/>
      <c r="CS63" s="3"/>
      <c r="CU63" s="3"/>
      <c r="CV63" s="3"/>
      <c r="CW63" s="3"/>
      <c r="CY63" s="3"/>
      <c r="CZ63" s="3"/>
      <c r="DA63" s="3"/>
    </row>
    <row r="64" spans="43:109" x14ac:dyDescent="0.2"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Z64" s="3"/>
      <c r="CA64" s="3"/>
      <c r="CB64" s="3"/>
      <c r="CC64" s="3"/>
      <c r="CD64" s="3"/>
      <c r="CE64" s="3"/>
      <c r="CF64" s="3"/>
      <c r="CG64" s="3"/>
      <c r="CI64" s="3"/>
      <c r="CJ64" s="3"/>
      <c r="CK64" s="3"/>
      <c r="CM64" s="3"/>
      <c r="CN64" s="3"/>
      <c r="CO64" s="3"/>
      <c r="CQ64" s="3"/>
      <c r="CR64" s="3"/>
      <c r="CS64" s="3"/>
      <c r="CU64" s="3"/>
      <c r="CV64" s="3"/>
      <c r="CW64" s="3"/>
      <c r="CY64" s="3"/>
      <c r="CZ64" s="3"/>
      <c r="DA64" s="3"/>
    </row>
    <row r="65" spans="43:105" x14ac:dyDescent="0.2"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Z65" s="3"/>
      <c r="CA65" s="3"/>
      <c r="CB65" s="3"/>
      <c r="CC65" s="3"/>
      <c r="CD65" s="3"/>
      <c r="CE65" s="3"/>
      <c r="CF65" s="3"/>
      <c r="CG65" s="3"/>
      <c r="CI65" s="3"/>
      <c r="CJ65" s="3"/>
      <c r="CK65" s="3"/>
      <c r="CM65" s="3"/>
      <c r="CN65" s="3"/>
      <c r="CO65" s="3"/>
      <c r="CQ65" s="3"/>
      <c r="CR65" s="3"/>
      <c r="CS65" s="3"/>
      <c r="CU65" s="3"/>
      <c r="CV65" s="3"/>
      <c r="CW65" s="3"/>
      <c r="CY65" s="3"/>
      <c r="CZ65" s="3"/>
      <c r="DA65" s="3"/>
    </row>
    <row r="66" spans="43:105" x14ac:dyDescent="0.2"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Z66" s="3"/>
      <c r="CA66" s="3"/>
      <c r="CB66" s="3"/>
      <c r="CC66" s="3"/>
      <c r="CD66" s="3"/>
      <c r="CE66" s="3"/>
      <c r="CF66" s="3"/>
      <c r="CG66" s="3"/>
      <c r="CI66" s="3"/>
      <c r="CJ66" s="3"/>
      <c r="CK66" s="3"/>
      <c r="CM66" s="3"/>
      <c r="CN66" s="3"/>
      <c r="CO66" s="3"/>
      <c r="CQ66" s="3"/>
      <c r="CR66" s="3"/>
      <c r="CS66" s="3"/>
      <c r="CU66" s="3"/>
      <c r="CV66" s="3"/>
      <c r="CW66" s="3"/>
      <c r="CY66" s="3"/>
      <c r="CZ66" s="3"/>
      <c r="DA66" s="3"/>
    </row>
  </sheetData>
  <dataConsolidate/>
  <mergeCells count="86">
    <mergeCell ref="I27:J27"/>
    <mergeCell ref="I28:J28"/>
    <mergeCell ref="I29:J29"/>
    <mergeCell ref="I30:J30"/>
    <mergeCell ref="DD48:DE49"/>
    <mergeCell ref="I31:J31"/>
    <mergeCell ref="I32:J32"/>
    <mergeCell ref="I33:J33"/>
    <mergeCell ref="I34:J34"/>
    <mergeCell ref="I35:J35"/>
    <mergeCell ref="I36:J36"/>
    <mergeCell ref="DD38:DE38"/>
    <mergeCell ref="DD40:DE40"/>
    <mergeCell ref="DD42:DE43"/>
    <mergeCell ref="DD45:DE46"/>
    <mergeCell ref="I18:J18"/>
    <mergeCell ref="I19:J19"/>
    <mergeCell ref="I20:J20"/>
    <mergeCell ref="I21:J21"/>
    <mergeCell ref="I22:J22"/>
    <mergeCell ref="I23:J23"/>
    <mergeCell ref="I25:J25"/>
    <mergeCell ref="I26:J26"/>
    <mergeCell ref="CY8:DA8"/>
    <mergeCell ref="I10:J10"/>
    <mergeCell ref="I11:J11"/>
    <mergeCell ref="I15:J15"/>
    <mergeCell ref="CK8:CK9"/>
    <mergeCell ref="CM8:CO8"/>
    <mergeCell ref="CQ8:CS8"/>
    <mergeCell ref="I16:J16"/>
    <mergeCell ref="I17:J17"/>
    <mergeCell ref="CI8:CI9"/>
    <mergeCell ref="CJ8:CJ9"/>
    <mergeCell ref="AD8:AI8"/>
    <mergeCell ref="AJ8:AO8"/>
    <mergeCell ref="BH8:BH9"/>
    <mergeCell ref="BI8:BK8"/>
    <mergeCell ref="AW8:BB8"/>
    <mergeCell ref="CU7:CW7"/>
    <mergeCell ref="BZ7:CB8"/>
    <mergeCell ref="CD7:CG7"/>
    <mergeCell ref="CI7:CK7"/>
    <mergeCell ref="BH7:BK7"/>
    <mergeCell ref="CY7:DA7"/>
    <mergeCell ref="D8:D9"/>
    <mergeCell ref="E8:E9"/>
    <mergeCell ref="F8:F9"/>
    <mergeCell ref="G8:G9"/>
    <mergeCell ref="H8:H9"/>
    <mergeCell ref="CU8:CW8"/>
    <mergeCell ref="L8:L9"/>
    <mergeCell ref="N8:P8"/>
    <mergeCell ref="CM7:CO7"/>
    <mergeCell ref="CQ7:CS7"/>
    <mergeCell ref="BM8:BR8"/>
    <mergeCell ref="BS8:BX8"/>
    <mergeCell ref="CD8:CD9"/>
    <mergeCell ref="CE8:CG8"/>
    <mergeCell ref="BM7:BX7"/>
    <mergeCell ref="K7:L7"/>
    <mergeCell ref="N7:AB7"/>
    <mergeCell ref="AD7:AO7"/>
    <mergeCell ref="AQ7:BB7"/>
    <mergeCell ref="BD7:BF8"/>
    <mergeCell ref="Q8:S8"/>
    <mergeCell ref="T8:V8"/>
    <mergeCell ref="W8:Y8"/>
    <mergeCell ref="Z8:AB8"/>
    <mergeCell ref="AQ8:AV8"/>
    <mergeCell ref="I7:J9"/>
    <mergeCell ref="K8:K9"/>
    <mergeCell ref="A1:B1"/>
    <mergeCell ref="D1:E1"/>
    <mergeCell ref="G1:H1"/>
    <mergeCell ref="J1:L5"/>
    <mergeCell ref="A2:B2"/>
    <mergeCell ref="D2:E2"/>
    <mergeCell ref="G2:H2"/>
    <mergeCell ref="A3:H3"/>
    <mergeCell ref="A7:A9"/>
    <mergeCell ref="B7:B9"/>
    <mergeCell ref="C7:C9"/>
    <mergeCell ref="D7:E7"/>
    <mergeCell ref="A4:H5"/>
    <mergeCell ref="F7:H7"/>
  </mergeCells>
  <phoneticPr fontId="0" type="noConversion"/>
  <printOptions horizontalCentered="1"/>
  <pageMargins left="0.19685039370078741" right="0.19685039370078741" top="0.78740157480314965" bottom="0.19685039370078741" header="0.51181102362204722" footer="0.51181102362204722"/>
  <pageSetup paperSize="8" scale="1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25">
    <tabColor theme="5" tint="0.59999389629810485"/>
    <pageSetUpPr fitToPage="1"/>
  </sheetPr>
  <dimension ref="A1:AR13"/>
  <sheetViews>
    <sheetView showGridLines="0" showZeros="0" zoomScale="80" zoomScaleNormal="80" workbookViewId="0">
      <pane xSplit="3" ySplit="9" topLeftCell="D10" activePane="bottomRight" state="frozen"/>
      <selection activeCell="Y30" sqref="Y30:Z30"/>
      <selection pane="topRight" activeCell="Y30" sqref="Y30:Z30"/>
      <selection pane="bottomLeft" activeCell="Y30" sqref="Y30:Z30"/>
      <selection pane="bottomRight" activeCell="J23" sqref="J23"/>
    </sheetView>
  </sheetViews>
  <sheetFormatPr baseColWidth="10" defaultColWidth="11.5703125" defaultRowHeight="15.75" x14ac:dyDescent="0.2"/>
  <cols>
    <col min="1" max="1" width="18.7109375" style="264" customWidth="1"/>
    <col min="2" max="2" width="40.7109375" style="265" customWidth="1"/>
    <col min="3" max="3" width="9.28515625" style="264" customWidth="1"/>
    <col min="4" max="4" width="10.7109375" style="264" customWidth="1"/>
    <col min="5" max="5" width="11.5703125" style="264" bestFit="1" customWidth="1"/>
    <col min="6" max="8" width="10.7109375" style="264" customWidth="1"/>
    <col min="9" max="10" width="15.7109375" style="264" customWidth="1"/>
    <col min="11" max="11" width="1.140625" style="264" customWidth="1"/>
    <col min="12" max="14" width="11.7109375" style="266" customWidth="1"/>
    <col min="15" max="15" width="1.140625" style="265" customWidth="1"/>
    <col min="16" max="16" width="10.5703125" style="264" bestFit="1" customWidth="1"/>
    <col min="17" max="17" width="11.7109375" style="264" bestFit="1" customWidth="1"/>
    <col min="18" max="18" width="10.5703125" style="264" bestFit="1" customWidth="1"/>
    <col min="19" max="19" width="11.5703125" style="264" bestFit="1" customWidth="1"/>
    <col min="20" max="20" width="1.140625" style="265" customWidth="1"/>
    <col min="21" max="24" width="11.7109375" style="264" customWidth="1"/>
    <col min="25" max="25" width="1.140625" style="264" customWidth="1"/>
    <col min="26" max="26" width="11.28515625" style="264" bestFit="1" customWidth="1"/>
    <col min="27" max="27" width="1.140625" style="264" customWidth="1"/>
    <col min="28" max="28" width="11.7109375" style="264" customWidth="1"/>
    <col min="29" max="29" width="1.140625" style="264" customWidth="1"/>
    <col min="30" max="33" width="11.7109375" style="264" customWidth="1"/>
    <col min="34" max="34" width="1.140625" style="265" customWidth="1"/>
    <col min="35" max="35" width="11.28515625" style="264" bestFit="1" customWidth="1"/>
    <col min="36" max="36" width="1.140625" style="264" customWidth="1"/>
    <col min="37" max="37" width="11.7109375" style="264" customWidth="1"/>
    <col min="38" max="38" width="1.140625" style="265" customWidth="1"/>
    <col min="39" max="39" width="22.85546875" style="266" customWidth="1"/>
    <col min="40" max="41" width="1.140625" style="265" customWidth="1"/>
    <col min="42" max="42" width="11.5703125" style="265"/>
    <col min="43" max="46" width="11.5703125" style="265" customWidth="1"/>
    <col min="47" max="47" width="11.5703125" style="265"/>
    <col min="48" max="51" width="11.5703125" style="265" customWidth="1"/>
    <col min="52" max="52" width="11.5703125" style="265"/>
    <col min="53" max="56" width="11.5703125" style="265" customWidth="1"/>
    <col min="57" max="57" width="11.5703125" style="265"/>
    <col min="58" max="61" width="11.5703125" style="265" customWidth="1"/>
    <col min="62" max="62" width="11.5703125" style="265"/>
    <col min="63" max="66" width="11.5703125" style="265" customWidth="1"/>
    <col min="67" max="67" width="11.5703125" style="265"/>
    <col min="68" max="71" width="11.5703125" style="265" customWidth="1"/>
    <col min="72" max="72" width="11.5703125" style="265"/>
    <col min="73" max="76" width="11.5703125" style="265" customWidth="1"/>
    <col min="77" max="77" width="11.5703125" style="265"/>
    <col min="78" max="81" width="11.5703125" style="265" customWidth="1"/>
    <col min="82" max="82" width="11.5703125" style="265"/>
    <col min="83" max="86" width="11.5703125" style="265" customWidth="1"/>
    <col min="87" max="87" width="11.5703125" style="265"/>
    <col min="88" max="91" width="11.5703125" style="265" customWidth="1"/>
    <col min="92" max="92" width="11.5703125" style="265"/>
    <col min="93" max="96" width="11.5703125" style="265" customWidth="1"/>
    <col min="97" max="97" width="11.5703125" style="265"/>
    <col min="98" max="101" width="11.5703125" style="265" customWidth="1"/>
    <col min="102" max="102" width="11.5703125" style="265"/>
    <col min="103" max="106" width="11.5703125" style="265" customWidth="1"/>
    <col min="107" max="107" width="11.5703125" style="265"/>
    <col min="108" max="111" width="11.5703125" style="265" customWidth="1"/>
    <col min="112" max="112" width="11.5703125" style="265"/>
    <col min="113" max="116" width="11.5703125" style="265" customWidth="1"/>
    <col min="117" max="117" width="11.5703125" style="265"/>
    <col min="118" max="121" width="11.5703125" style="265" customWidth="1"/>
    <col min="122" max="122" width="11.5703125" style="265"/>
    <col min="123" max="126" width="11.5703125" style="265" customWidth="1"/>
    <col min="127" max="127" width="11.5703125" style="265"/>
    <col min="128" max="131" width="11.5703125" style="265" customWidth="1"/>
    <col min="132" max="132" width="11.5703125" style="265"/>
    <col min="133" max="136" width="11.5703125" style="265" customWidth="1"/>
    <col min="137" max="137" width="11.5703125" style="265"/>
    <col min="138" max="138" width="11.5703125" style="265" customWidth="1"/>
    <col min="139" max="16384" width="11.5703125" style="265"/>
  </cols>
  <sheetData>
    <row r="1" spans="1:44" ht="30" customHeight="1" thickBot="1" x14ac:dyDescent="0.25">
      <c r="A1" s="542" t="s">
        <v>21</v>
      </c>
      <c r="B1" s="542"/>
      <c r="C1" s="267" t="s">
        <v>34</v>
      </c>
      <c r="D1" s="543"/>
      <c r="E1" s="543"/>
      <c r="F1" s="263"/>
      <c r="G1" s="543"/>
      <c r="H1" s="543"/>
      <c r="I1" s="266"/>
      <c r="J1" s="266"/>
      <c r="K1" s="266"/>
      <c r="P1" s="265"/>
      <c r="Q1" s="265"/>
      <c r="R1" s="265"/>
      <c r="S1" s="265"/>
      <c r="U1" s="268"/>
      <c r="V1" s="268"/>
      <c r="W1" s="268"/>
      <c r="X1" s="268"/>
      <c r="Y1" s="269"/>
      <c r="Z1" s="268"/>
      <c r="AA1" s="269"/>
      <c r="AB1" s="270"/>
      <c r="AC1" s="271"/>
      <c r="AI1" s="268"/>
      <c r="AJ1" s="269"/>
      <c r="AK1" s="270"/>
      <c r="AM1" s="265"/>
    </row>
    <row r="2" spans="1:44" ht="30" customHeight="1" thickBot="1" x14ac:dyDescent="0.25">
      <c r="A2" s="544" t="s">
        <v>121</v>
      </c>
      <c r="B2" s="545"/>
      <c r="C2" s="272" t="e">
        <f>HYPERLINK(#REF!,"■")</f>
        <v>#REF!</v>
      </c>
      <c r="D2" s="546"/>
      <c r="E2" s="546"/>
      <c r="G2" s="547"/>
      <c r="H2" s="547"/>
      <c r="I2" s="266"/>
      <c r="J2" s="266"/>
      <c r="K2" s="266"/>
      <c r="Y2" s="273"/>
      <c r="AA2" s="273"/>
      <c r="AB2" s="268"/>
      <c r="AC2" s="271"/>
      <c r="AD2" s="266"/>
      <c r="AE2" s="266"/>
      <c r="AF2" s="266"/>
      <c r="AG2" s="266"/>
      <c r="AJ2" s="273"/>
      <c r="AK2" s="268"/>
      <c r="AM2" s="265"/>
    </row>
    <row r="3" spans="1:44" ht="30" customHeight="1" x14ac:dyDescent="0.2">
      <c r="A3" s="548" t="s">
        <v>35</v>
      </c>
      <c r="B3" s="548"/>
      <c r="C3" s="548"/>
      <c r="D3" s="548"/>
      <c r="E3" s="548"/>
      <c r="F3" s="548"/>
      <c r="G3" s="548"/>
      <c r="H3" s="548"/>
      <c r="I3" s="266"/>
      <c r="J3" s="266"/>
      <c r="K3" s="266"/>
      <c r="P3" s="263"/>
      <c r="Q3" s="263"/>
      <c r="R3" s="263"/>
      <c r="S3" s="263"/>
      <c r="AB3" s="270"/>
      <c r="AC3" s="271"/>
      <c r="AD3" s="265"/>
      <c r="AE3" s="265"/>
      <c r="AF3" s="265"/>
      <c r="AG3" s="265"/>
      <c r="AK3" s="270"/>
      <c r="AM3" s="265"/>
    </row>
    <row r="4" spans="1:44" x14ac:dyDescent="0.2">
      <c r="A4" s="549"/>
      <c r="B4" s="550"/>
      <c r="C4" s="550"/>
      <c r="D4" s="550"/>
      <c r="E4" s="550"/>
      <c r="F4" s="550"/>
      <c r="G4" s="550"/>
      <c r="H4" s="551"/>
      <c r="I4" s="266"/>
      <c r="J4" s="266"/>
      <c r="K4" s="266"/>
      <c r="AB4" s="266"/>
      <c r="AC4" s="271"/>
      <c r="AD4" s="266"/>
      <c r="AE4" s="266"/>
      <c r="AF4" s="266"/>
      <c r="AG4" s="266"/>
      <c r="AK4" s="266"/>
      <c r="AM4" s="265"/>
    </row>
    <row r="5" spans="1:44" x14ac:dyDescent="0.2">
      <c r="A5" s="552"/>
      <c r="B5" s="553"/>
      <c r="C5" s="553"/>
      <c r="D5" s="553"/>
      <c r="E5" s="553"/>
      <c r="F5" s="553"/>
      <c r="G5" s="553"/>
      <c r="H5" s="554"/>
      <c r="I5" s="266"/>
      <c r="J5" s="266"/>
      <c r="K5" s="266"/>
      <c r="AB5" s="266"/>
      <c r="AC5" s="271"/>
      <c r="AD5" s="266"/>
      <c r="AE5" s="266"/>
      <c r="AF5" s="266"/>
      <c r="AG5" s="266"/>
      <c r="AK5" s="266"/>
      <c r="AM5" s="265"/>
    </row>
    <row r="6" spans="1:44" ht="10.15" customHeight="1" thickBot="1" x14ac:dyDescent="0.25">
      <c r="A6" s="274"/>
      <c r="B6" s="274"/>
      <c r="D6" s="265"/>
      <c r="E6" s="265"/>
      <c r="G6" s="265"/>
      <c r="H6" s="265"/>
      <c r="I6" s="266"/>
      <c r="J6" s="266"/>
      <c r="K6" s="266"/>
      <c r="P6" s="283"/>
      <c r="Q6" s="283"/>
      <c r="R6" s="283"/>
      <c r="S6" s="283"/>
      <c r="U6" s="275"/>
      <c r="V6" s="275"/>
      <c r="W6" s="275"/>
      <c r="X6" s="275"/>
      <c r="Z6" s="266"/>
      <c r="AA6" s="266"/>
      <c r="AB6" s="266"/>
      <c r="AD6" s="275"/>
      <c r="AE6" s="275"/>
      <c r="AF6" s="275"/>
      <c r="AG6" s="275"/>
      <c r="AI6" s="266"/>
      <c r="AK6" s="266"/>
      <c r="AM6" s="265"/>
    </row>
    <row r="7" spans="1:44" s="264" customFormat="1" ht="61.5" customHeight="1" thickBot="1" x14ac:dyDescent="0.25">
      <c r="A7" s="555" t="s">
        <v>1</v>
      </c>
      <c r="B7" s="558" t="s">
        <v>0</v>
      </c>
      <c r="C7" s="558" t="s">
        <v>3</v>
      </c>
      <c r="D7" s="555" t="s">
        <v>22</v>
      </c>
      <c r="E7" s="561"/>
      <c r="F7" s="562" t="s">
        <v>20</v>
      </c>
      <c r="G7" s="563"/>
      <c r="H7" s="564"/>
      <c r="I7" s="555" t="s">
        <v>6</v>
      </c>
      <c r="J7" s="592"/>
      <c r="K7" s="276"/>
      <c r="L7" s="593" t="s">
        <v>26</v>
      </c>
      <c r="M7" s="594"/>
      <c r="N7" s="595"/>
      <c r="P7" s="575" t="s">
        <v>114</v>
      </c>
      <c r="Q7" s="576"/>
      <c r="R7" s="577"/>
      <c r="S7" s="577"/>
      <c r="T7" s="265"/>
      <c r="U7" s="578" t="s">
        <v>107</v>
      </c>
      <c r="V7" s="579"/>
      <c r="W7" s="579"/>
      <c r="X7" s="579"/>
      <c r="Y7" s="276"/>
      <c r="Z7" s="575" t="s">
        <v>38</v>
      </c>
      <c r="AA7" s="276"/>
      <c r="AB7" s="312" t="s">
        <v>39</v>
      </c>
      <c r="AC7" s="276"/>
      <c r="AD7" s="580" t="s">
        <v>42</v>
      </c>
      <c r="AE7" s="581"/>
      <c r="AF7" s="581"/>
      <c r="AG7" s="581"/>
      <c r="AI7" s="575" t="s">
        <v>109</v>
      </c>
      <c r="AK7" s="312" t="s">
        <v>39</v>
      </c>
      <c r="AM7" s="603" t="s">
        <v>112</v>
      </c>
    </row>
    <row r="8" spans="1:44" s="264" customFormat="1" ht="13.9" customHeight="1" thickBot="1" x14ac:dyDescent="0.25">
      <c r="A8" s="556"/>
      <c r="B8" s="559"/>
      <c r="C8" s="559"/>
      <c r="D8" s="565" t="s">
        <v>6</v>
      </c>
      <c r="E8" s="567" t="s">
        <v>7</v>
      </c>
      <c r="F8" s="569" t="s">
        <v>6</v>
      </c>
      <c r="G8" s="571" t="s">
        <v>7</v>
      </c>
      <c r="H8" s="573" t="s">
        <v>8</v>
      </c>
      <c r="I8" s="565" t="s">
        <v>4</v>
      </c>
      <c r="J8" s="588" t="s">
        <v>9</v>
      </c>
      <c r="K8" s="277"/>
      <c r="L8" s="590" t="s">
        <v>117</v>
      </c>
      <c r="M8" s="582" t="s">
        <v>118</v>
      </c>
      <c r="N8" s="584" t="s">
        <v>96</v>
      </c>
      <c r="P8" s="586" t="s">
        <v>16</v>
      </c>
      <c r="Q8" s="587"/>
      <c r="R8" s="586" t="s">
        <v>94</v>
      </c>
      <c r="S8" s="587"/>
      <c r="T8" s="265"/>
      <c r="U8" s="598" t="s">
        <v>115</v>
      </c>
      <c r="V8" s="599"/>
      <c r="W8" s="598" t="s">
        <v>116</v>
      </c>
      <c r="X8" s="599"/>
      <c r="Y8" s="277"/>
      <c r="Z8" s="602"/>
      <c r="AA8" s="277"/>
      <c r="AB8" s="600" t="s">
        <v>40</v>
      </c>
      <c r="AC8" s="277"/>
      <c r="AD8" s="598" t="s">
        <v>16</v>
      </c>
      <c r="AE8" s="599"/>
      <c r="AF8" s="598" t="s">
        <v>94</v>
      </c>
      <c r="AG8" s="599"/>
      <c r="AI8" s="602"/>
      <c r="AK8" s="600" t="s">
        <v>40</v>
      </c>
      <c r="AM8" s="604"/>
    </row>
    <row r="9" spans="1:44" s="264" customFormat="1" ht="15.75" customHeight="1" thickBot="1" x14ac:dyDescent="0.25">
      <c r="A9" s="557"/>
      <c r="B9" s="560"/>
      <c r="C9" s="560"/>
      <c r="D9" s="566"/>
      <c r="E9" s="568"/>
      <c r="F9" s="570"/>
      <c r="G9" s="572"/>
      <c r="H9" s="574"/>
      <c r="I9" s="566"/>
      <c r="J9" s="589"/>
      <c r="K9" s="277"/>
      <c r="L9" s="591"/>
      <c r="M9" s="583"/>
      <c r="N9" s="585"/>
      <c r="P9" s="284" t="s">
        <v>97</v>
      </c>
      <c r="Q9" s="284" t="s">
        <v>110</v>
      </c>
      <c r="R9" s="284" t="s">
        <v>97</v>
      </c>
      <c r="S9" s="284" t="s">
        <v>110</v>
      </c>
      <c r="T9" s="265"/>
      <c r="U9" s="285" t="s">
        <v>97</v>
      </c>
      <c r="V9" s="285" t="s">
        <v>111</v>
      </c>
      <c r="W9" s="285" t="s">
        <v>97</v>
      </c>
      <c r="X9" s="285" t="s">
        <v>110</v>
      </c>
      <c r="Y9" s="277"/>
      <c r="Z9" s="578"/>
      <c r="AA9" s="277"/>
      <c r="AB9" s="601"/>
      <c r="AC9" s="277"/>
      <c r="AD9" s="285" t="s">
        <v>97</v>
      </c>
      <c r="AE9" s="285" t="s">
        <v>111</v>
      </c>
      <c r="AF9" s="285" t="s">
        <v>97</v>
      </c>
      <c r="AG9" s="285" t="s">
        <v>110</v>
      </c>
      <c r="AI9" s="578"/>
      <c r="AK9" s="601"/>
      <c r="AM9" s="605"/>
    </row>
    <row r="10" spans="1:44" ht="30" customHeight="1" thickBot="1" x14ac:dyDescent="0.25">
      <c r="A10" s="286" t="s">
        <v>120</v>
      </c>
      <c r="B10" s="287" t="s">
        <v>122</v>
      </c>
      <c r="C10" s="288">
        <v>1</v>
      </c>
      <c r="D10" s="289" t="s">
        <v>123</v>
      </c>
      <c r="E10" s="290" t="s">
        <v>14</v>
      </c>
      <c r="F10" s="291" t="str">
        <f ca="1">IF(LEFT(D10,2)="PA",VLOOKUP(D10,INDIRECT(#REF!),5,FALSE),"/")</f>
        <v>/</v>
      </c>
      <c r="G10" s="292" t="str">
        <f ca="1">IF(LEFT(E10,2)="PF",VLOOKUP(E10,INDIRECT(#REF!),5,FALSE),"/")</f>
        <v>/</v>
      </c>
      <c r="H10" s="293" t="str">
        <f ca="1">IF(LEFT(E10,2)="PF",VLOOKUP(E10,INDIRECT(#REF!),6,FALSE),"/")</f>
        <v>/</v>
      </c>
      <c r="I10" s="294">
        <v>1140</v>
      </c>
      <c r="J10" s="295">
        <v>0.42399999999999999</v>
      </c>
      <c r="K10" s="269"/>
      <c r="L10" s="296">
        <v>1</v>
      </c>
      <c r="M10" s="297"/>
      <c r="N10" s="298"/>
      <c r="P10" s="299"/>
      <c r="Q10" s="300"/>
      <c r="R10" s="299"/>
      <c r="S10" s="300">
        <f>(-22*2)-(2*2)</f>
        <v>-48</v>
      </c>
      <c r="U10" s="301">
        <f>IF( P10&lt;&gt;"", ((1000+P10+5)/1000)*($I10/1000)*(1+#REF!)*#REF!, 0 )</f>
        <v>0</v>
      </c>
      <c r="V10" s="302">
        <f>IF( Q10&lt;&gt;"", ((Q10+5)/1000)*($I10/1000)*(1+#REF!)*#REF!, 0 )</f>
        <v>0</v>
      </c>
      <c r="W10" s="301">
        <f>IF( R10&lt;&gt;"", ((1000+R10+5)/1000)*($I10/1000)*(1+#REF!)*#REF!, 0 )</f>
        <v>0</v>
      </c>
      <c r="X10" s="303" t="e">
        <f>IF( S10&lt;&gt;"", ((1000+S10+5)/1000)*($I10/1000)*(1+#REF!)*#REF!, 0 )</f>
        <v>#REF!</v>
      </c>
      <c r="Y10" s="278"/>
      <c r="Z10" s="304"/>
      <c r="AA10" s="278"/>
      <c r="AB10" s="305"/>
      <c r="AC10" s="278"/>
      <c r="AD10" s="306">
        <f>IF(P10&lt;&gt;"",(MAX(0.12,$J10)*(P10+5)/1000*(1+#REF!)*#REF!),0)</f>
        <v>0</v>
      </c>
      <c r="AE10" s="307">
        <f>IF(Q10&lt;&gt;"",(MAX(0.12,$J10)*(Q10+5)/1000*(1+#REF!)*#REF!),0)</f>
        <v>0</v>
      </c>
      <c r="AF10" s="306">
        <f>IF(R10&lt;&gt;"",(MAX(0.12,$J10)*(R10+5)/1000*(1+#REF!)*#REF!),0)</f>
        <v>0</v>
      </c>
      <c r="AG10" s="307" t="e">
        <f>IF(S10&lt;&gt;"",(MAX(0.12,$J10)*(1000+S10+5)/1000*(1+#REF!)*#REF!),0)</f>
        <v>#REF!</v>
      </c>
      <c r="AI10" s="308"/>
      <c r="AK10" s="309"/>
      <c r="AM10" s="310" t="e">
        <f>IF(L10&lt;&gt;"",((AE10+AG10+AK10)+(V10+X10+AB10)*L10),0)</f>
        <v>#REF!</v>
      </c>
    </row>
    <row r="11" spans="1:44" ht="10.15" customHeight="1" thickBot="1" x14ac:dyDescent="0.25">
      <c r="B11" s="279"/>
      <c r="D11" s="263"/>
      <c r="E11" s="280"/>
      <c r="F11" s="263"/>
      <c r="G11" s="280"/>
      <c r="H11" s="280"/>
      <c r="I11" s="281"/>
      <c r="J11" s="269"/>
      <c r="K11" s="269"/>
      <c r="P11" s="269"/>
      <c r="Q11" s="269"/>
      <c r="R11" s="269"/>
      <c r="S11" s="269"/>
      <c r="U11" s="268"/>
      <c r="V11" s="268"/>
      <c r="W11" s="268"/>
      <c r="X11" s="268"/>
      <c r="Y11" s="269"/>
      <c r="Z11" s="268"/>
      <c r="AA11" s="269"/>
      <c r="AB11" s="270"/>
      <c r="AC11" s="269"/>
      <c r="AI11" s="268"/>
      <c r="AJ11" s="269"/>
      <c r="AK11" s="270"/>
    </row>
    <row r="12" spans="1:44" ht="30" customHeight="1" thickBot="1" x14ac:dyDescent="0.25">
      <c r="C12" s="265"/>
      <c r="D12" s="265"/>
      <c r="E12" s="265"/>
      <c r="F12" s="265"/>
      <c r="G12" s="265"/>
      <c r="H12" s="265"/>
      <c r="K12" s="273"/>
      <c r="Y12" s="273"/>
      <c r="AA12" s="273"/>
      <c r="AB12" s="268"/>
      <c r="AJ12" s="273"/>
      <c r="AK12" s="268"/>
      <c r="AM12" s="311" t="e">
        <f>SUM(AM10:AM10)</f>
        <v>#REF!</v>
      </c>
      <c r="AQ12" s="596" t="s">
        <v>12</v>
      </c>
      <c r="AR12" s="597"/>
    </row>
    <row r="13" spans="1:44" ht="10.15" customHeight="1" x14ac:dyDescent="0.2">
      <c r="C13" s="265"/>
      <c r="D13" s="265"/>
      <c r="E13" s="265"/>
      <c r="AB13" s="270"/>
      <c r="AC13" s="265"/>
      <c r="AK13" s="270"/>
      <c r="AQ13" s="266"/>
      <c r="AR13" s="266"/>
    </row>
  </sheetData>
  <dataConsolidate/>
  <mergeCells count="40">
    <mergeCell ref="AQ12:AR12"/>
    <mergeCell ref="U8:V8"/>
    <mergeCell ref="W8:X8"/>
    <mergeCell ref="AB8:AB9"/>
    <mergeCell ref="AD8:AE8"/>
    <mergeCell ref="AF8:AG8"/>
    <mergeCell ref="AK8:AK9"/>
    <mergeCell ref="AI7:AI9"/>
    <mergeCell ref="AM7:AM9"/>
    <mergeCell ref="Z7:Z9"/>
    <mergeCell ref="I8:I9"/>
    <mergeCell ref="J8:J9"/>
    <mergeCell ref="L8:L9"/>
    <mergeCell ref="I7:J7"/>
    <mergeCell ref="L7:N7"/>
    <mergeCell ref="P7:S7"/>
    <mergeCell ref="U7:X7"/>
    <mergeCell ref="AD7:AG7"/>
    <mergeCell ref="M8:M9"/>
    <mergeCell ref="N8:N9"/>
    <mergeCell ref="P8:Q8"/>
    <mergeCell ref="R8:S8"/>
    <mergeCell ref="A3:H3"/>
    <mergeCell ref="A4:H5"/>
    <mergeCell ref="A7:A9"/>
    <mergeCell ref="B7:B9"/>
    <mergeCell ref="C7:C9"/>
    <mergeCell ref="D7:E7"/>
    <mergeCell ref="F7:H7"/>
    <mergeCell ref="D8:D9"/>
    <mergeCell ref="E8:E9"/>
    <mergeCell ref="F8:F9"/>
    <mergeCell ref="G8:G9"/>
    <mergeCell ref="H8:H9"/>
    <mergeCell ref="A1:B1"/>
    <mergeCell ref="D1:E1"/>
    <mergeCell ref="G1:H1"/>
    <mergeCell ref="A2:B2"/>
    <mergeCell ref="D2:E2"/>
    <mergeCell ref="G2:H2"/>
  </mergeCells>
  <printOptions horizontalCentered="1"/>
  <pageMargins left="0.19685039370078741" right="0.19685039370078741" top="0.78740157480314965" bottom="0.19685039370078741" header="0.51181102362204722" footer="0.51181102362204722"/>
  <pageSetup paperSize="8" scale="4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0">
    <pageSetUpPr fitToPage="1"/>
  </sheetPr>
  <dimension ref="A1:X48"/>
  <sheetViews>
    <sheetView showGridLines="0" tabSelected="1" topLeftCell="B1" zoomScale="70" zoomScaleNormal="70" zoomScaleSheetLayoutView="70" workbookViewId="0">
      <selection activeCell="E13" sqref="E13:H16"/>
    </sheetView>
  </sheetViews>
  <sheetFormatPr baseColWidth="10" defaultColWidth="11.42578125" defaultRowHeight="12.75" x14ac:dyDescent="0.2"/>
  <cols>
    <col min="1" max="1" width="4.85546875" style="282" customWidth="1"/>
    <col min="2" max="2" width="53" style="282" bestFit="1" customWidth="1"/>
    <col min="3" max="3" width="20.5703125" style="282" bestFit="1" customWidth="1"/>
    <col min="4" max="4" width="6.28515625" style="282" customWidth="1"/>
    <col min="5" max="5" width="11.42578125" style="282" customWidth="1"/>
    <col min="6" max="8" width="12.7109375" style="282" customWidth="1"/>
    <col min="9" max="10" width="10.85546875" style="282" customWidth="1"/>
    <col min="11" max="13" width="13" style="282" customWidth="1"/>
    <col min="14" max="14" width="11.28515625" style="282" customWidth="1"/>
    <col min="15" max="15" width="4.85546875" style="282" customWidth="1"/>
    <col min="16" max="16" width="11.42578125" style="282"/>
    <col min="17" max="17" width="14.85546875" style="282" bestFit="1" customWidth="1"/>
    <col min="18" max="18" width="19" style="282" bestFit="1" customWidth="1"/>
    <col min="19" max="19" width="12.7109375" style="282" bestFit="1" customWidth="1"/>
    <col min="20" max="20" width="11.42578125" style="282"/>
    <col min="21" max="21" width="13" style="282" bestFit="1" customWidth="1"/>
    <col min="22" max="16384" width="11.42578125" style="282"/>
  </cols>
  <sheetData>
    <row r="1" spans="1:24" ht="51.75" thickBot="1" x14ac:dyDescent="0.25">
      <c r="A1" s="621" t="s">
        <v>176</v>
      </c>
      <c r="B1" s="622"/>
      <c r="C1" s="622"/>
      <c r="D1" s="622"/>
      <c r="E1" s="622"/>
      <c r="F1" s="622"/>
      <c r="G1" s="622"/>
      <c r="H1" s="622"/>
      <c r="I1" s="622"/>
      <c r="J1" s="622"/>
      <c r="K1" s="622"/>
      <c r="L1" s="622"/>
      <c r="M1" s="622"/>
      <c r="N1" s="622"/>
      <c r="O1" s="623"/>
    </row>
    <row r="2" spans="1:24" ht="27" customHeight="1" thickBot="1" x14ac:dyDescent="0.25">
      <c r="A2" s="331"/>
      <c r="B2" s="313"/>
      <c r="C2" s="313"/>
      <c r="D2" s="313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7"/>
      <c r="Q2" s="313"/>
      <c r="R2" s="313"/>
      <c r="S2" s="313"/>
    </row>
    <row r="3" spans="1:24" ht="22.15" customHeight="1" thickBot="1" x14ac:dyDescent="0.25">
      <c r="A3" s="331"/>
      <c r="B3" s="627" t="s">
        <v>255</v>
      </c>
      <c r="C3" s="628"/>
      <c r="D3" s="313"/>
      <c r="E3" s="624" t="s">
        <v>134</v>
      </c>
      <c r="F3" s="625"/>
      <c r="G3" s="625"/>
      <c r="H3" s="625"/>
      <c r="I3" s="625"/>
      <c r="J3" s="625"/>
      <c r="K3" s="625"/>
      <c r="L3" s="625"/>
      <c r="M3" s="625"/>
      <c r="N3" s="626"/>
      <c r="O3" s="327"/>
      <c r="Q3" s="313"/>
      <c r="R3" s="313"/>
      <c r="S3" s="313"/>
    </row>
    <row r="4" spans="1:24" ht="23.45" customHeight="1" thickBot="1" x14ac:dyDescent="0.25">
      <c r="A4" s="331"/>
      <c r="B4" s="397" t="s">
        <v>136</v>
      </c>
      <c r="C4" s="398">
        <v>2000</v>
      </c>
      <c r="O4" s="327"/>
      <c r="R4" s="615" t="s">
        <v>128</v>
      </c>
      <c r="S4" s="616"/>
    </row>
    <row r="5" spans="1:24" ht="23.45" customHeight="1" thickBot="1" x14ac:dyDescent="0.25">
      <c r="A5" s="331"/>
      <c r="B5" s="399" t="s">
        <v>135</v>
      </c>
      <c r="C5" s="400">
        <v>160</v>
      </c>
      <c r="F5" s="608" t="e" vm="1">
        <v>#VALUE!</v>
      </c>
      <c r="G5" s="608"/>
      <c r="H5" s="608"/>
      <c r="I5" s="321"/>
      <c r="K5" s="608" t="e" vm="2">
        <v>#VALUE!</v>
      </c>
      <c r="L5" s="608"/>
      <c r="M5" s="608"/>
      <c r="O5" s="327"/>
      <c r="R5" s="317" t="s">
        <v>124</v>
      </c>
      <c r="S5" s="317" t="s">
        <v>113</v>
      </c>
    </row>
    <row r="6" spans="1:24" ht="25.5" x14ac:dyDescent="0.2">
      <c r="A6" s="331"/>
      <c r="B6" s="399" t="s">
        <v>138</v>
      </c>
      <c r="C6" s="400">
        <v>157</v>
      </c>
      <c r="D6" s="328"/>
      <c r="F6" s="608"/>
      <c r="G6" s="608"/>
      <c r="H6" s="608"/>
      <c r="I6" s="321"/>
      <c r="K6" s="608"/>
      <c r="L6" s="608"/>
      <c r="M6" s="608"/>
      <c r="O6" s="327"/>
      <c r="Q6" s="314" t="s">
        <v>127</v>
      </c>
      <c r="R6" s="320" t="s">
        <v>129</v>
      </c>
      <c r="S6" s="320" t="s">
        <v>119</v>
      </c>
      <c r="T6" s="620" t="s">
        <v>286</v>
      </c>
      <c r="U6" s="606"/>
      <c r="V6" s="606" t="s">
        <v>285</v>
      </c>
      <c r="W6" s="606"/>
      <c r="X6" s="343"/>
    </row>
    <row r="7" spans="1:24" ht="24.6" customHeight="1" x14ac:dyDescent="0.2">
      <c r="A7" s="331"/>
      <c r="B7" s="399" t="s">
        <v>139</v>
      </c>
      <c r="C7" s="400">
        <v>139</v>
      </c>
      <c r="F7" s="608"/>
      <c r="G7" s="608"/>
      <c r="H7" s="608"/>
      <c r="I7" s="321"/>
      <c r="K7" s="608"/>
      <c r="L7" s="608"/>
      <c r="M7" s="608"/>
      <c r="O7" s="327"/>
      <c r="Q7" s="315">
        <v>1</v>
      </c>
      <c r="R7" s="319">
        <f t="shared" ref="R7:R18" si="0">(Entraxe_Lames_Cl_Ajourée*($Q7-1))+Jeu_bas_sur_Platine+Ht_Lame+Ht_SOUB</f>
        <v>185</v>
      </c>
      <c r="S7" s="421">
        <f t="shared" ref="S7:S18" si="1">(Entraxe_Lames_Cl_Ajourée*($Q7-1))+Jeu_Bas_Scellé+Ht_Lame+Ht_SOUB</f>
        <v>160</v>
      </c>
      <c r="T7" s="425">
        <f>ABS($C$16-$R7)</f>
        <v>1665</v>
      </c>
      <c r="U7" s="343">
        <f>IF($T7=$T$19,$R7,0)</f>
        <v>0</v>
      </c>
      <c r="V7" s="343">
        <f>ABS($C$16-$S7)</f>
        <v>1690</v>
      </c>
      <c r="W7" s="343">
        <f>IF($V7=$V$19,$S7,0)</f>
        <v>0</v>
      </c>
      <c r="X7" s="343"/>
    </row>
    <row r="8" spans="1:24" ht="23.45" customHeight="1" thickBot="1" x14ac:dyDescent="0.25">
      <c r="A8" s="331"/>
      <c r="B8" s="401" t="s">
        <v>125</v>
      </c>
      <c r="C8" s="402">
        <v>8</v>
      </c>
      <c r="F8" s="608"/>
      <c r="G8" s="608"/>
      <c r="H8" s="608"/>
      <c r="I8" s="321"/>
      <c r="K8" s="608"/>
      <c r="L8" s="608"/>
      <c r="M8" s="608"/>
      <c r="O8" s="327"/>
      <c r="Q8" s="315">
        <v>2</v>
      </c>
      <c r="R8" s="319">
        <f t="shared" si="0"/>
        <v>342</v>
      </c>
      <c r="S8" s="421">
        <f t="shared" si="1"/>
        <v>317</v>
      </c>
      <c r="T8" s="425">
        <f t="shared" ref="T8:T18" si="2">ABS($C$16-$R8)</f>
        <v>1508</v>
      </c>
      <c r="U8" s="343">
        <f t="shared" ref="U8:U18" si="3">IF($T8=$T$19,$R8,0)</f>
        <v>0</v>
      </c>
      <c r="V8" s="343">
        <f t="shared" ref="V8:V18" si="4">ABS($C$16-$S8)</f>
        <v>1533</v>
      </c>
      <c r="W8" s="343">
        <f t="shared" ref="W8:W18" si="5">IF($V8=$V$19,$S8,0)</f>
        <v>0</v>
      </c>
      <c r="X8" s="343"/>
    </row>
    <row r="9" spans="1:24" ht="23.45" customHeight="1" thickBot="1" x14ac:dyDescent="0.25">
      <c r="A9" s="331"/>
      <c r="B9" s="632" t="s">
        <v>256</v>
      </c>
      <c r="C9" s="633"/>
      <c r="O9" s="327"/>
      <c r="Q9" s="318">
        <v>3</v>
      </c>
      <c r="R9" s="319">
        <f t="shared" si="0"/>
        <v>499</v>
      </c>
      <c r="S9" s="421">
        <f t="shared" si="1"/>
        <v>474</v>
      </c>
      <c r="T9" s="425">
        <f t="shared" si="2"/>
        <v>1351</v>
      </c>
      <c r="U9" s="343">
        <f t="shared" si="3"/>
        <v>0</v>
      </c>
      <c r="V9" s="343">
        <f t="shared" si="4"/>
        <v>1376</v>
      </c>
      <c r="W9" s="343">
        <f t="shared" si="5"/>
        <v>0</v>
      </c>
      <c r="X9" s="343"/>
    </row>
    <row r="10" spans="1:24" ht="23.45" customHeight="1" thickTop="1" thickBot="1" x14ac:dyDescent="0.25">
      <c r="A10" s="331"/>
      <c r="B10" s="388" t="s">
        <v>140</v>
      </c>
      <c r="C10" s="389" t="s">
        <v>290</v>
      </c>
      <c r="E10" s="322"/>
      <c r="F10" s="322"/>
      <c r="G10" s="322"/>
      <c r="H10" s="322"/>
      <c r="I10" s="322"/>
      <c r="J10" s="322"/>
      <c r="K10" s="322"/>
      <c r="L10" s="322"/>
      <c r="M10" s="322"/>
      <c r="N10" s="322"/>
      <c r="O10" s="327"/>
      <c r="Q10" s="315">
        <v>4</v>
      </c>
      <c r="R10" s="319">
        <f t="shared" si="0"/>
        <v>656</v>
      </c>
      <c r="S10" s="421">
        <f t="shared" si="1"/>
        <v>631</v>
      </c>
      <c r="T10" s="425">
        <f t="shared" si="2"/>
        <v>1194</v>
      </c>
      <c r="U10" s="343">
        <f t="shared" si="3"/>
        <v>0</v>
      </c>
      <c r="V10" s="343">
        <f t="shared" si="4"/>
        <v>1219</v>
      </c>
      <c r="W10" s="343">
        <f t="shared" si="5"/>
        <v>0</v>
      </c>
      <c r="X10" s="343"/>
    </row>
    <row r="11" spans="1:24" ht="23.45" customHeight="1" thickBot="1" x14ac:dyDescent="0.25">
      <c r="A11" s="331"/>
      <c r="B11" s="390" t="s">
        <v>133</v>
      </c>
      <c r="C11" s="391" t="s">
        <v>291</v>
      </c>
      <c r="E11" s="624" t="s">
        <v>155</v>
      </c>
      <c r="F11" s="625"/>
      <c r="G11" s="625"/>
      <c r="H11" s="625"/>
      <c r="I11" s="625"/>
      <c r="J11" s="625"/>
      <c r="K11" s="625"/>
      <c r="L11" s="625"/>
      <c r="M11" s="625"/>
      <c r="N11" s="626"/>
      <c r="O11" s="327"/>
      <c r="Q11" s="315">
        <v>5</v>
      </c>
      <c r="R11" s="319">
        <f t="shared" si="0"/>
        <v>813</v>
      </c>
      <c r="S11" s="421">
        <f t="shared" si="1"/>
        <v>788</v>
      </c>
      <c r="T11" s="425">
        <f t="shared" si="2"/>
        <v>1037</v>
      </c>
      <c r="U11" s="343">
        <f t="shared" si="3"/>
        <v>0</v>
      </c>
      <c r="V11" s="343">
        <f t="shared" si="4"/>
        <v>1062</v>
      </c>
      <c r="W11" s="343">
        <f t="shared" si="5"/>
        <v>0</v>
      </c>
      <c r="X11" s="343"/>
    </row>
    <row r="12" spans="1:24" ht="23.45" customHeight="1" thickBot="1" x14ac:dyDescent="0.25">
      <c r="A12" s="331"/>
      <c r="B12" s="392" t="s">
        <v>137</v>
      </c>
      <c r="C12" s="393">
        <v>0</v>
      </c>
      <c r="E12" s="629" t="s">
        <v>177</v>
      </c>
      <c r="F12" s="630"/>
      <c r="G12" s="630"/>
      <c r="H12" s="631"/>
      <c r="I12" s="324"/>
      <c r="J12" s="323"/>
      <c r="K12" s="629" t="s">
        <v>113</v>
      </c>
      <c r="L12" s="630"/>
      <c r="M12" s="630"/>
      <c r="N12" s="631"/>
      <c r="O12" s="327"/>
      <c r="Q12" s="315">
        <v>6</v>
      </c>
      <c r="R12" s="319">
        <f t="shared" si="0"/>
        <v>970</v>
      </c>
      <c r="S12" s="421">
        <f t="shared" si="1"/>
        <v>945</v>
      </c>
      <c r="T12" s="425">
        <f t="shared" si="2"/>
        <v>880</v>
      </c>
      <c r="U12" s="343">
        <f t="shared" si="3"/>
        <v>0</v>
      </c>
      <c r="V12" s="343">
        <f t="shared" si="4"/>
        <v>905</v>
      </c>
      <c r="W12" s="343">
        <f t="shared" si="5"/>
        <v>0</v>
      </c>
      <c r="X12" s="343"/>
    </row>
    <row r="13" spans="1:24" ht="23.45" customHeight="1" x14ac:dyDescent="0.2">
      <c r="A13" s="331"/>
      <c r="B13" s="392" t="s">
        <v>148</v>
      </c>
      <c r="C13" s="391">
        <v>25</v>
      </c>
      <c r="E13" s="608" t="e" vm="3">
        <v>#VALUE!</v>
      </c>
      <c r="F13" s="608"/>
      <c r="G13" s="608"/>
      <c r="H13" s="608"/>
      <c r="I13" s="325"/>
      <c r="J13" s="323"/>
      <c r="K13" s="608" t="e" vm="4">
        <v>#VALUE!</v>
      </c>
      <c r="L13" s="608"/>
      <c r="M13" s="608"/>
      <c r="N13" s="608"/>
      <c r="O13" s="327"/>
      <c r="Q13" s="315">
        <v>7</v>
      </c>
      <c r="R13" s="319">
        <f t="shared" si="0"/>
        <v>1127</v>
      </c>
      <c r="S13" s="421">
        <f t="shared" si="1"/>
        <v>1102</v>
      </c>
      <c r="T13" s="425">
        <f t="shared" si="2"/>
        <v>723</v>
      </c>
      <c r="U13" s="343">
        <f t="shared" si="3"/>
        <v>0</v>
      </c>
      <c r="V13" s="343">
        <f>ABS($C$16-$S13)</f>
        <v>748</v>
      </c>
      <c r="W13" s="343">
        <f t="shared" si="5"/>
        <v>0</v>
      </c>
      <c r="X13" s="343"/>
    </row>
    <row r="14" spans="1:24" ht="23.45" customHeight="1" x14ac:dyDescent="0.2">
      <c r="A14" s="331"/>
      <c r="B14" s="394" t="s">
        <v>149</v>
      </c>
      <c r="C14" s="391">
        <v>0</v>
      </c>
      <c r="E14" s="608"/>
      <c r="F14" s="608"/>
      <c r="G14" s="608"/>
      <c r="H14" s="608"/>
      <c r="I14" s="325"/>
      <c r="J14" s="323"/>
      <c r="K14" s="608"/>
      <c r="L14" s="608"/>
      <c r="M14" s="608"/>
      <c r="N14" s="608"/>
      <c r="O14" s="327"/>
      <c r="Q14" s="315">
        <v>8</v>
      </c>
      <c r="R14" s="319">
        <f t="shared" si="0"/>
        <v>1284</v>
      </c>
      <c r="S14" s="421">
        <f t="shared" si="1"/>
        <v>1259</v>
      </c>
      <c r="T14" s="425">
        <f t="shared" si="2"/>
        <v>566</v>
      </c>
      <c r="U14" s="343">
        <f t="shared" si="3"/>
        <v>0</v>
      </c>
      <c r="V14" s="343">
        <f t="shared" si="4"/>
        <v>591</v>
      </c>
      <c r="W14" s="343">
        <f t="shared" si="5"/>
        <v>0</v>
      </c>
      <c r="X14" s="343"/>
    </row>
    <row r="15" spans="1:24" ht="23.45" customHeight="1" x14ac:dyDescent="0.2">
      <c r="A15" s="331"/>
      <c r="B15" s="392" t="s">
        <v>126</v>
      </c>
      <c r="C15" s="391">
        <v>25</v>
      </c>
      <c r="E15" s="608"/>
      <c r="F15" s="608"/>
      <c r="G15" s="608"/>
      <c r="H15" s="608"/>
      <c r="I15" s="325"/>
      <c r="J15" s="323"/>
      <c r="K15" s="608"/>
      <c r="L15" s="608"/>
      <c r="M15" s="608"/>
      <c r="N15" s="608"/>
      <c r="O15" s="327"/>
      <c r="Q15" s="315">
        <v>9</v>
      </c>
      <c r="R15" s="319">
        <f t="shared" si="0"/>
        <v>1441</v>
      </c>
      <c r="S15" s="421">
        <f t="shared" si="1"/>
        <v>1416</v>
      </c>
      <c r="T15" s="425">
        <f t="shared" si="2"/>
        <v>409</v>
      </c>
      <c r="U15" s="343">
        <f t="shared" si="3"/>
        <v>0</v>
      </c>
      <c r="V15" s="343">
        <f t="shared" si="4"/>
        <v>434</v>
      </c>
      <c r="W15" s="343">
        <f t="shared" si="5"/>
        <v>0</v>
      </c>
      <c r="X15" s="343"/>
    </row>
    <row r="16" spans="1:24" ht="25.5" x14ac:dyDescent="0.2">
      <c r="A16" s="331"/>
      <c r="B16" s="392" t="s">
        <v>264</v>
      </c>
      <c r="C16" s="415">
        <v>1850</v>
      </c>
      <c r="E16" s="608"/>
      <c r="F16" s="608"/>
      <c r="G16" s="608"/>
      <c r="H16" s="608"/>
      <c r="I16" s="325"/>
      <c r="J16" s="323"/>
      <c r="K16" s="608"/>
      <c r="L16" s="608"/>
      <c r="M16" s="608"/>
      <c r="N16" s="608"/>
      <c r="O16" s="327"/>
      <c r="Q16" s="315">
        <v>10</v>
      </c>
      <c r="R16" s="319">
        <f t="shared" si="0"/>
        <v>1598</v>
      </c>
      <c r="S16" s="421">
        <f t="shared" si="1"/>
        <v>1573</v>
      </c>
      <c r="T16" s="433">
        <f t="shared" si="2"/>
        <v>252</v>
      </c>
      <c r="U16" s="282">
        <f t="shared" si="3"/>
        <v>0</v>
      </c>
      <c r="V16" s="282">
        <f t="shared" si="4"/>
        <v>277</v>
      </c>
      <c r="W16" s="282">
        <f t="shared" si="5"/>
        <v>0</v>
      </c>
    </row>
    <row r="17" spans="1:24" ht="23.45" customHeight="1" x14ac:dyDescent="0.2">
      <c r="A17" s="331"/>
      <c r="B17" s="394" t="s">
        <v>279</v>
      </c>
      <c r="C17" s="387">
        <f>IF($C$11="sur platine",0,IF(Hauteur_posée_souhaitée&lt;1201,200,IF(Hauteur_posée_souhaitée&lt;1501,300,IF(Hauteur_posée_souhaitée&lt;1601,400,500))))</f>
        <v>500</v>
      </c>
      <c r="I17" s="324"/>
      <c r="J17" s="323"/>
      <c r="O17" s="327"/>
      <c r="Q17" s="315">
        <v>11</v>
      </c>
      <c r="R17" s="319">
        <f t="shared" si="0"/>
        <v>1755</v>
      </c>
      <c r="S17" s="421">
        <f t="shared" si="1"/>
        <v>1730</v>
      </c>
      <c r="T17" s="433">
        <f t="shared" si="2"/>
        <v>95</v>
      </c>
      <c r="U17" s="282">
        <f t="shared" si="3"/>
        <v>0</v>
      </c>
      <c r="V17" s="282">
        <f t="shared" si="4"/>
        <v>120</v>
      </c>
      <c r="W17" s="282">
        <f t="shared" si="5"/>
        <v>0</v>
      </c>
    </row>
    <row r="18" spans="1:24" ht="23.45" customHeight="1" x14ac:dyDescent="0.2">
      <c r="A18" s="331"/>
      <c r="B18" s="392" t="s">
        <v>269</v>
      </c>
      <c r="C18" s="415">
        <v>25000</v>
      </c>
      <c r="F18" s="608" t="e" vm="5">
        <v>#VALUE!</v>
      </c>
      <c r="G18" s="608"/>
      <c r="H18" s="608"/>
      <c r="I18" s="325"/>
      <c r="J18" s="323"/>
      <c r="L18" s="608" t="e" vm="6">
        <v>#VALUE!</v>
      </c>
      <c r="M18" s="608"/>
      <c r="O18" s="327"/>
      <c r="Q18" s="315">
        <v>12</v>
      </c>
      <c r="R18" s="319">
        <f t="shared" si="0"/>
        <v>1912</v>
      </c>
      <c r="S18" s="421">
        <f t="shared" si="1"/>
        <v>1887</v>
      </c>
      <c r="T18" s="433">
        <f t="shared" si="2"/>
        <v>62</v>
      </c>
      <c r="U18" s="282">
        <f t="shared" si="3"/>
        <v>1912</v>
      </c>
      <c r="V18" s="282">
        <f t="shared" si="4"/>
        <v>37</v>
      </c>
      <c r="W18" s="282">
        <f t="shared" si="5"/>
        <v>1887</v>
      </c>
    </row>
    <row r="19" spans="1:24" ht="26.25" thickBot="1" x14ac:dyDescent="0.25">
      <c r="A19" s="331"/>
      <c r="B19" s="392" t="s">
        <v>266</v>
      </c>
      <c r="C19" s="391" t="s">
        <v>267</v>
      </c>
      <c r="F19" s="608"/>
      <c r="G19" s="608"/>
      <c r="H19" s="608"/>
      <c r="I19" s="325"/>
      <c r="J19" s="323"/>
      <c r="L19" s="608"/>
      <c r="M19" s="608"/>
      <c r="O19" s="327"/>
      <c r="T19" s="433">
        <f>MIN(T7:T18)</f>
        <v>62</v>
      </c>
      <c r="U19" s="282">
        <f>MAX(U7:U18)</f>
        <v>1912</v>
      </c>
      <c r="V19" s="282">
        <f>MIN(V7:V18)</f>
        <v>37</v>
      </c>
      <c r="W19" s="282">
        <f>MAX(W7:W18)</f>
        <v>1887</v>
      </c>
      <c r="X19" s="282">
        <f>IF(Type_Fixation="sur platine",U19,W19)</f>
        <v>1887</v>
      </c>
    </row>
    <row r="20" spans="1:24" ht="39" thickBot="1" x14ac:dyDescent="0.25">
      <c r="A20" s="331"/>
      <c r="B20" s="392" t="s">
        <v>270</v>
      </c>
      <c r="C20" s="393">
        <v>2051</v>
      </c>
      <c r="F20" s="608"/>
      <c r="G20" s="608"/>
      <c r="H20" s="608"/>
      <c r="I20" s="325"/>
      <c r="J20" s="323"/>
      <c r="L20" s="608"/>
      <c r="M20" s="608"/>
      <c r="O20" s="327"/>
      <c r="R20" s="615" t="s">
        <v>130</v>
      </c>
      <c r="S20" s="616"/>
    </row>
    <row r="21" spans="1:24" ht="23.45" customHeight="1" thickBot="1" x14ac:dyDescent="0.25">
      <c r="A21" s="331"/>
      <c r="B21" s="392" t="s">
        <v>147</v>
      </c>
      <c r="C21" s="391">
        <v>2500</v>
      </c>
      <c r="F21" s="608"/>
      <c r="G21" s="608"/>
      <c r="H21" s="608"/>
      <c r="I21" s="325"/>
      <c r="J21" s="323"/>
      <c r="L21" s="608"/>
      <c r="M21" s="608"/>
      <c r="O21" s="327"/>
      <c r="R21" s="317" t="s">
        <v>124</v>
      </c>
      <c r="S21" s="317" t="s">
        <v>113</v>
      </c>
    </row>
    <row r="22" spans="1:24" ht="38.25" x14ac:dyDescent="0.2">
      <c r="A22" s="331"/>
      <c r="B22" s="392" t="s">
        <v>265</v>
      </c>
      <c r="C22" s="393" t="str">
        <f>IF(Lg_Lame_posée&gt;1600,"tôle pas possible","tôle possible")</f>
        <v>tôle pas possible</v>
      </c>
      <c r="I22" s="325"/>
      <c r="J22" s="323"/>
      <c r="O22" s="327"/>
      <c r="Q22" s="314" t="s">
        <v>127</v>
      </c>
      <c r="R22" s="320" t="s">
        <v>129</v>
      </c>
      <c r="S22" s="320" t="s">
        <v>119</v>
      </c>
      <c r="T22" s="607" t="s">
        <v>286</v>
      </c>
      <c r="U22" s="608"/>
      <c r="V22" s="608" t="s">
        <v>285</v>
      </c>
      <c r="W22" s="608"/>
    </row>
    <row r="23" spans="1:24" ht="23.45" customHeight="1" x14ac:dyDescent="0.2">
      <c r="A23" s="331"/>
      <c r="B23" s="390" t="s">
        <v>259</v>
      </c>
      <c r="C23" s="393">
        <v>0</v>
      </c>
      <c r="I23" s="324"/>
      <c r="J23" s="323"/>
      <c r="O23" s="327"/>
      <c r="Q23" s="315">
        <v>1</v>
      </c>
      <c r="R23" s="319">
        <f>(Entraxe_Lames_sans_Ajour*($Q23-1))+Jeu_bas_sur_Platine+Ht_Lame+Ht_SOUB</f>
        <v>185</v>
      </c>
      <c r="S23" s="319">
        <f>(Entraxe_Lames_sans_Ajour*($Q23-1))+Jeu_Bas_Scellé+Ht_Lame+Ht_SOUB</f>
        <v>160</v>
      </c>
      <c r="T23" s="433">
        <f>ABS($C$16-$R23)</f>
        <v>1665</v>
      </c>
      <c r="U23" s="282">
        <f>IF($T23=$T$36,$R23,0)</f>
        <v>0</v>
      </c>
      <c r="V23" s="282">
        <f>ABS($C$16-$S23)</f>
        <v>1690</v>
      </c>
      <c r="W23" s="282">
        <f>IF($V23=$V$36,$S23,0)</f>
        <v>0</v>
      </c>
    </row>
    <row r="24" spans="1:24" ht="22.9" customHeight="1" x14ac:dyDescent="0.2">
      <c r="A24" s="331"/>
      <c r="B24" s="390" t="s">
        <v>132</v>
      </c>
      <c r="C24" s="391">
        <v>2</v>
      </c>
      <c r="I24" s="324"/>
      <c r="J24" s="323"/>
      <c r="O24" s="327"/>
      <c r="Q24" s="315">
        <v>2</v>
      </c>
      <c r="R24" s="319">
        <f t="shared" ref="R24:R35" si="6">(Entraxe_Lames_sans_Ajour*($Q24-1))+Jeu_bas_sur_Platine+Ht_Lame+Ht_SOUB</f>
        <v>324</v>
      </c>
      <c r="S24" s="319">
        <f t="shared" ref="S24:S35" si="7">(Entraxe_Lames_sans_Ajour*($Q24-1))+Jeu_Bas_Scellé+Ht_Lame+Ht_SOUB</f>
        <v>299</v>
      </c>
      <c r="T24" s="433">
        <f t="shared" ref="T24:T35" si="8">ABS($C$16-$R24)</f>
        <v>1526</v>
      </c>
      <c r="U24" s="282">
        <f t="shared" ref="U24:U35" si="9">IF($T24=$T$36,$R24,0)</f>
        <v>0</v>
      </c>
      <c r="V24" s="282">
        <f t="shared" ref="V24:V35" si="10">ABS($C$16-$S24)</f>
        <v>1551</v>
      </c>
      <c r="W24" s="282">
        <f t="shared" ref="W24:W35" si="11">IF($V24=$V$36,$S24,0)</f>
        <v>0</v>
      </c>
    </row>
    <row r="25" spans="1:24" ht="23.45" customHeight="1" thickBot="1" x14ac:dyDescent="0.25">
      <c r="A25" s="331"/>
      <c r="B25" s="396" t="s">
        <v>156</v>
      </c>
      <c r="C25" s="395" t="s">
        <v>157</v>
      </c>
      <c r="I25" s="329"/>
      <c r="J25" s="329"/>
      <c r="O25" s="327"/>
      <c r="Q25" s="318">
        <v>3</v>
      </c>
      <c r="R25" s="319">
        <f t="shared" si="6"/>
        <v>463</v>
      </c>
      <c r="S25" s="319">
        <f t="shared" si="7"/>
        <v>438</v>
      </c>
      <c r="T25" s="433">
        <f t="shared" si="8"/>
        <v>1387</v>
      </c>
      <c r="U25" s="282">
        <f t="shared" si="9"/>
        <v>0</v>
      </c>
      <c r="V25" s="282">
        <f t="shared" si="10"/>
        <v>1412</v>
      </c>
      <c r="W25" s="282">
        <f t="shared" si="11"/>
        <v>0</v>
      </c>
    </row>
    <row r="26" spans="1:24" ht="24" customHeight="1" thickBot="1" x14ac:dyDescent="0.25">
      <c r="A26" s="331"/>
      <c r="B26" s="609" t="s">
        <v>249</v>
      </c>
      <c r="C26" s="636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10"/>
      <c r="O26" s="327"/>
      <c r="Q26" s="315">
        <v>4</v>
      </c>
      <c r="R26" s="319">
        <f t="shared" si="6"/>
        <v>602</v>
      </c>
      <c r="S26" s="319">
        <f t="shared" si="7"/>
        <v>577</v>
      </c>
      <c r="T26" s="433">
        <f t="shared" si="8"/>
        <v>1248</v>
      </c>
      <c r="U26" s="282">
        <f t="shared" si="9"/>
        <v>0</v>
      </c>
      <c r="V26" s="282">
        <f t="shared" si="10"/>
        <v>1273</v>
      </c>
      <c r="W26" s="282">
        <f t="shared" si="11"/>
        <v>0</v>
      </c>
    </row>
    <row r="27" spans="1:24" ht="38.25" x14ac:dyDescent="0.2">
      <c r="A27" s="331"/>
      <c r="B27" s="409" t="s">
        <v>271</v>
      </c>
      <c r="C27" s="404">
        <f>(Longueur_Cloture-85)/Nbre_Trames_Homogènes</f>
        <v>1916.5384615384614</v>
      </c>
      <c r="E27" s="617" t="s">
        <v>153</v>
      </c>
      <c r="F27" s="617"/>
      <c r="G27" s="617"/>
      <c r="H27" s="321">
        <f>IF(Remplissage="Ajouré",Entraxe_Lames_Cl_Ajourée,Entraxe_Lames_sans_Ajour)</f>
        <v>139</v>
      </c>
      <c r="J27" s="432"/>
      <c r="K27" s="618" t="s">
        <v>274</v>
      </c>
      <c r="L27" s="618"/>
      <c r="M27" s="424">
        <f>Longueur_Cloture-85</f>
        <v>24915</v>
      </c>
      <c r="N27" s="328"/>
      <c r="O27" s="327"/>
      <c r="Q27" s="315">
        <v>5</v>
      </c>
      <c r="R27" s="319">
        <f t="shared" si="6"/>
        <v>741</v>
      </c>
      <c r="S27" s="319">
        <f t="shared" si="7"/>
        <v>716</v>
      </c>
      <c r="T27" s="433">
        <f t="shared" si="8"/>
        <v>1109</v>
      </c>
      <c r="U27" s="282">
        <f t="shared" si="9"/>
        <v>0</v>
      </c>
      <c r="V27" s="282">
        <f t="shared" si="10"/>
        <v>1134</v>
      </c>
      <c r="W27" s="282">
        <f t="shared" si="11"/>
        <v>0</v>
      </c>
    </row>
    <row r="28" spans="1:24" ht="25.5" x14ac:dyDescent="0.2">
      <c r="A28" s="331"/>
      <c r="B28" s="410" t="s">
        <v>268</v>
      </c>
      <c r="C28" s="411">
        <f>Longueur_Trame_choisie-51</f>
        <v>2000</v>
      </c>
      <c r="E28" s="637" t="s">
        <v>152</v>
      </c>
      <c r="F28" s="637"/>
      <c r="G28" s="637"/>
      <c r="H28" s="321">
        <f>IF(Type_Fixation="sur platine",Jeu_bas_sur_Platine,Jeu_Bas_Scellé)</f>
        <v>0</v>
      </c>
      <c r="K28" s="608" t="s">
        <v>276</v>
      </c>
      <c r="L28" s="608"/>
      <c r="M28" s="423">
        <f>ROUNDUP((Longueur_Cloture-85)/2051,0)</f>
        <v>13</v>
      </c>
      <c r="N28" s="328"/>
      <c r="O28" s="327"/>
      <c r="Q28" s="315">
        <v>6</v>
      </c>
      <c r="R28" s="319">
        <f t="shared" si="6"/>
        <v>880</v>
      </c>
      <c r="S28" s="319">
        <f t="shared" si="7"/>
        <v>855</v>
      </c>
      <c r="T28" s="433">
        <f t="shared" si="8"/>
        <v>970</v>
      </c>
      <c r="U28" s="282">
        <f t="shared" si="9"/>
        <v>0</v>
      </c>
      <c r="V28" s="282">
        <f t="shared" si="10"/>
        <v>995</v>
      </c>
      <c r="W28" s="282">
        <f t="shared" si="11"/>
        <v>0</v>
      </c>
    </row>
    <row r="29" spans="1:24" ht="24" customHeight="1" x14ac:dyDescent="0.2">
      <c r="A29" s="331"/>
      <c r="B29" s="412" t="s">
        <v>146</v>
      </c>
      <c r="C29" s="406">
        <f>IF(Remplissage="Ajouré",X19,X36)</f>
        <v>1828</v>
      </c>
      <c r="E29" s="637" t="s">
        <v>151</v>
      </c>
      <c r="F29" s="637"/>
      <c r="G29" s="637"/>
      <c r="H29" s="321">
        <f>IF(Remplissage="Ajouré",Entraxe_Lames_Cl_Ajourée,Entraxe_Lames_sans_Ajour)</f>
        <v>139</v>
      </c>
      <c r="K29" s="608" t="s">
        <v>275</v>
      </c>
      <c r="L29" s="608"/>
      <c r="M29" s="423">
        <f>IF(répartition_lames="Oui",longueur_trame_homogène,Longueur_Trame_manuelle)</f>
        <v>2051</v>
      </c>
      <c r="N29" s="328"/>
      <c r="O29" s="327"/>
      <c r="Q29" s="315">
        <v>7</v>
      </c>
      <c r="R29" s="319">
        <f t="shared" si="6"/>
        <v>1019</v>
      </c>
      <c r="S29" s="319">
        <f t="shared" si="7"/>
        <v>994</v>
      </c>
      <c r="T29" s="433">
        <f t="shared" si="8"/>
        <v>831</v>
      </c>
      <c r="U29" s="282">
        <f t="shared" si="9"/>
        <v>0</v>
      </c>
      <c r="V29" s="282">
        <f t="shared" si="10"/>
        <v>856</v>
      </c>
      <c r="W29" s="282">
        <f t="shared" si="11"/>
        <v>0</v>
      </c>
    </row>
    <row r="30" spans="1:24" ht="23.45" customHeight="1" x14ac:dyDescent="0.2">
      <c r="A30" s="331"/>
      <c r="B30" s="412" t="s">
        <v>257</v>
      </c>
      <c r="C30" s="406">
        <f>Ht_posée_calculée+Jeu_Haut+Prof_scellement</f>
        <v>2353</v>
      </c>
      <c r="E30" s="637" t="s">
        <v>154</v>
      </c>
      <c r="F30" s="637"/>
      <c r="G30" s="637"/>
      <c r="H30" s="321">
        <v>200</v>
      </c>
      <c r="I30" s="282" t="s">
        <v>143</v>
      </c>
      <c r="J30" s="619" t="s">
        <v>119</v>
      </c>
      <c r="O30" s="327"/>
      <c r="Q30" s="315">
        <v>8</v>
      </c>
      <c r="R30" s="319">
        <f t="shared" si="6"/>
        <v>1158</v>
      </c>
      <c r="S30" s="319">
        <f t="shared" si="7"/>
        <v>1133</v>
      </c>
      <c r="T30" s="433">
        <f t="shared" si="8"/>
        <v>692</v>
      </c>
      <c r="U30" s="282">
        <f t="shared" si="9"/>
        <v>0</v>
      </c>
      <c r="V30" s="282">
        <f t="shared" si="10"/>
        <v>717</v>
      </c>
      <c r="W30" s="282">
        <f t="shared" si="11"/>
        <v>0</v>
      </c>
    </row>
    <row r="31" spans="1:24" ht="23.45" customHeight="1" x14ac:dyDescent="0.2">
      <c r="A31" s="331"/>
      <c r="B31" s="413" t="s">
        <v>273</v>
      </c>
      <c r="C31" s="393">
        <f>ROUNDUP((Longueur_Cloture-85)/Longueur_Trame_choisie,0)+1</f>
        <v>14</v>
      </c>
      <c r="H31" s="321">
        <v>300</v>
      </c>
      <c r="I31" s="282" t="s">
        <v>144</v>
      </c>
      <c r="J31" s="619"/>
      <c r="M31" s="321"/>
      <c r="O31" s="327"/>
      <c r="Q31" s="315">
        <v>9</v>
      </c>
      <c r="R31" s="319">
        <f t="shared" si="6"/>
        <v>1297</v>
      </c>
      <c r="S31" s="319">
        <f t="shared" si="7"/>
        <v>1272</v>
      </c>
      <c r="T31" s="433">
        <f t="shared" si="8"/>
        <v>553</v>
      </c>
      <c r="U31" s="282">
        <f t="shared" si="9"/>
        <v>0</v>
      </c>
      <c r="V31" s="282">
        <f t="shared" si="10"/>
        <v>578</v>
      </c>
      <c r="W31" s="282">
        <f t="shared" si="11"/>
        <v>0</v>
      </c>
    </row>
    <row r="32" spans="1:24" ht="23.45" customHeight="1" x14ac:dyDescent="0.2">
      <c r="A32" s="331"/>
      <c r="B32" s="413" t="s">
        <v>258</v>
      </c>
      <c r="C32" s="393">
        <f>ROUNDDOWN(Lg_Poteau_HT/(Lg_Poteau_posé),0)</f>
        <v>1</v>
      </c>
      <c r="E32" s="608" t="e" vm="7">
        <v>#VALUE!</v>
      </c>
      <c r="F32" s="608"/>
      <c r="G32" s="608"/>
      <c r="H32" s="321">
        <v>400</v>
      </c>
      <c r="I32" s="282" t="s">
        <v>145</v>
      </c>
      <c r="J32" s="619"/>
      <c r="M32" s="321"/>
      <c r="O32" s="327"/>
      <c r="Q32" s="315">
        <v>10</v>
      </c>
      <c r="R32" s="319">
        <f t="shared" si="6"/>
        <v>1436</v>
      </c>
      <c r="S32" s="319">
        <f t="shared" si="7"/>
        <v>1411</v>
      </c>
      <c r="T32" s="433">
        <f t="shared" si="8"/>
        <v>414</v>
      </c>
      <c r="U32" s="282">
        <f t="shared" si="9"/>
        <v>0</v>
      </c>
      <c r="V32" s="282">
        <f t="shared" si="10"/>
        <v>439</v>
      </c>
      <c r="W32" s="282">
        <f>IF($V32=$V$36,$S32,0)</f>
        <v>0</v>
      </c>
    </row>
    <row r="33" spans="1:24" ht="23.45" customHeight="1" x14ac:dyDescent="0.2">
      <c r="A33" s="331"/>
      <c r="B33" s="413" t="s">
        <v>131</v>
      </c>
      <c r="C33" s="393">
        <f>ROUNDUP((Longueur_Cloture-85)/Longueur_Trame_choisie,0)</f>
        <v>13</v>
      </c>
      <c r="E33" s="608"/>
      <c r="F33" s="608"/>
      <c r="G33" s="608"/>
      <c r="H33" s="321">
        <v>500</v>
      </c>
      <c r="I33" s="282" t="s">
        <v>150</v>
      </c>
      <c r="J33" s="619"/>
      <c r="M33" s="321"/>
      <c r="O33" s="327"/>
      <c r="Q33" s="315">
        <v>11</v>
      </c>
      <c r="R33" s="319">
        <f t="shared" si="6"/>
        <v>1575</v>
      </c>
      <c r="S33" s="319">
        <f t="shared" si="7"/>
        <v>1550</v>
      </c>
      <c r="T33" s="433">
        <f t="shared" si="8"/>
        <v>275</v>
      </c>
      <c r="U33" s="282">
        <f t="shared" si="9"/>
        <v>0</v>
      </c>
      <c r="V33" s="282">
        <f t="shared" si="10"/>
        <v>300</v>
      </c>
      <c r="W33" s="282">
        <f t="shared" si="11"/>
        <v>0</v>
      </c>
    </row>
    <row r="34" spans="1:24" ht="23.45" customHeight="1" x14ac:dyDescent="0.2">
      <c r="A34" s="331"/>
      <c r="B34" s="413" t="s">
        <v>141</v>
      </c>
      <c r="C34" s="393">
        <f>ROUNDUP(((Hauteur_posée_souhaitée-Ht_SOUB)-Ht_Lame)/Pas_de_lame,0)</f>
        <v>13</v>
      </c>
      <c r="E34" s="608"/>
      <c r="F34" s="608"/>
      <c r="G34" s="608"/>
      <c r="O34" s="327"/>
      <c r="Q34" s="315">
        <v>12</v>
      </c>
      <c r="R34" s="319">
        <f t="shared" si="6"/>
        <v>1714</v>
      </c>
      <c r="S34" s="319">
        <f t="shared" si="7"/>
        <v>1689</v>
      </c>
      <c r="T34" s="433">
        <f t="shared" si="8"/>
        <v>136</v>
      </c>
      <c r="U34" s="282">
        <f t="shared" si="9"/>
        <v>0</v>
      </c>
      <c r="V34" s="282">
        <f t="shared" si="10"/>
        <v>161</v>
      </c>
      <c r="W34" s="282">
        <f t="shared" si="11"/>
        <v>0</v>
      </c>
    </row>
    <row r="35" spans="1:24" ht="23.45" customHeight="1" thickBot="1" x14ac:dyDescent="0.25">
      <c r="A35" s="331"/>
      <c r="B35" s="413" t="s">
        <v>272</v>
      </c>
      <c r="C35" s="393">
        <f>Qté_Lame_par_trame*(Nbre_Trames)</f>
        <v>169</v>
      </c>
      <c r="E35" s="608"/>
      <c r="F35" s="608"/>
      <c r="G35" s="608"/>
      <c r="J35" s="634" t="s">
        <v>278</v>
      </c>
      <c r="K35" s="634"/>
      <c r="L35" s="634"/>
      <c r="M35" s="418">
        <f>(Longueur_Cloture-85)-((Nbre_Trames-1)*Longueur_Trame_manuelle)</f>
        <v>303</v>
      </c>
      <c r="O35" s="327"/>
      <c r="Q35" s="316">
        <v>13</v>
      </c>
      <c r="R35" s="319">
        <f t="shared" si="6"/>
        <v>1853</v>
      </c>
      <c r="S35" s="319">
        <f t="shared" si="7"/>
        <v>1828</v>
      </c>
      <c r="T35" s="433">
        <f t="shared" si="8"/>
        <v>3</v>
      </c>
      <c r="U35" s="282">
        <f t="shared" si="9"/>
        <v>1853</v>
      </c>
      <c r="V35" s="282">
        <f t="shared" si="10"/>
        <v>22</v>
      </c>
      <c r="W35" s="282">
        <f t="shared" si="11"/>
        <v>1828</v>
      </c>
    </row>
    <row r="36" spans="1:24" ht="23.45" customHeight="1" x14ac:dyDescent="0.2">
      <c r="A36" s="331"/>
      <c r="B36" s="413" t="s">
        <v>250</v>
      </c>
      <c r="C36" s="393">
        <f>((IF(AND(Type_Fixation="sur platine",Jeu_bas_sur_Platine=8),0,Nbre_Trames*2))+(IF(Remplissage="Ajouré",Qté_lames_posées*2,0)))+(IF(Jeu_Haut=25,Nbre_Trames*2,0))</f>
        <v>52</v>
      </c>
      <c r="E36" s="638"/>
      <c r="F36" s="638"/>
      <c r="G36" s="638"/>
      <c r="J36" s="614" t="s">
        <v>277</v>
      </c>
      <c r="K36" s="614"/>
      <c r="L36" s="614"/>
      <c r="M36" s="416">
        <f>Entraxe_derniers_poteaux-51</f>
        <v>252</v>
      </c>
      <c r="O36" s="327"/>
      <c r="T36" s="433">
        <f>MIN(T23:T35)</f>
        <v>3</v>
      </c>
      <c r="U36" s="282">
        <f>MAX(U23:U35)</f>
        <v>1853</v>
      </c>
      <c r="V36" s="282">
        <f>MIN(V23:V35)</f>
        <v>22</v>
      </c>
      <c r="W36" s="282">
        <f>MAX(W23:W35)</f>
        <v>1828</v>
      </c>
      <c r="X36" s="282">
        <f>IF(Type_Fixation="sur platine",U36,W36)</f>
        <v>1828</v>
      </c>
    </row>
    <row r="37" spans="1:24" ht="23.45" customHeight="1" thickBot="1" x14ac:dyDescent="0.25">
      <c r="A37" s="331"/>
      <c r="B37" s="414" t="s">
        <v>142</v>
      </c>
      <c r="C37" s="434">
        <f>((IF(AND(Type_Fixation&lt;&gt;"sur platine",Jeu_Bas_Scellé=0),0,Nbre_Trames*2))+(IF(Remplissage="Ajouré",Qté_lames_posées*2,0)))+(IF(Jeu_Haut=25,Nbre_Trames*2,0))</f>
        <v>26</v>
      </c>
      <c r="E37" s="614" t="str">
        <f>"Quantité lames longueur "&amp;$C28&amp;""</f>
        <v>Quantité lames longueur 2000</v>
      </c>
      <c r="F37" s="614"/>
      <c r="G37" s="614"/>
      <c r="H37" s="416">
        <f>(Nbre_Trames-1)*Qté_Lame_par_trame</f>
        <v>156</v>
      </c>
      <c r="J37" s="614" t="str">
        <f>"Quantité lames longueur "&amp;$M36&amp;""</f>
        <v>Quantité lames longueur 252</v>
      </c>
      <c r="K37" s="614"/>
      <c r="L37" s="614"/>
      <c r="M37" s="416">
        <f>Qté_lames_posées-H37</f>
        <v>13</v>
      </c>
      <c r="N37" s="328"/>
      <c r="O37" s="327"/>
      <c r="Q37" s="282">
        <v>9</v>
      </c>
      <c r="R37" s="282">
        <f>(Entraxe_Lames_sans_Ajour*($Q31-1))+Jeu_bas_sur_Platine+Ht_Lame+Ht_SOUB</f>
        <v>1297</v>
      </c>
    </row>
    <row r="38" spans="1:24" ht="26.45" customHeight="1" thickBot="1" x14ac:dyDescent="0.25">
      <c r="A38" s="331"/>
      <c r="E38" s="635" t="str">
        <f>"Quantité lames débitées "&amp;Lg_Lame_posée&amp;" / Lame 2000"</f>
        <v>Quantité lames débitées 2000 / Lame 2000</v>
      </c>
      <c r="F38" s="635"/>
      <c r="G38" s="635"/>
      <c r="H38" s="417">
        <f>ROUNDDOWN(Longueur_Lame/Lg_Lame_posée,0)</f>
        <v>1</v>
      </c>
      <c r="J38" s="635" t="str">
        <f>"Quantité lames débitées "&amp;Lg_Lame_derniere_Trame&amp;" / Lame 2000"</f>
        <v>Quantité lames débitées 252 / Lame 2000</v>
      </c>
      <c r="K38" s="635"/>
      <c r="L38" s="635"/>
      <c r="M38" s="417">
        <f>ROUNDDOWN(Longueur_Lame/Lg_Lame_derniere_Trame,0)</f>
        <v>7</v>
      </c>
      <c r="O38" s="327"/>
      <c r="Q38" s="282">
        <v>10</v>
      </c>
      <c r="R38" s="282">
        <f>(Entraxe_Lames_sans_Ajour*($Q32-1))+Jeu_bas_sur_Platine+Ht_Lame+Ht_SOUB</f>
        <v>1436</v>
      </c>
    </row>
    <row r="39" spans="1:24" ht="26.45" customHeight="1" thickBot="1" x14ac:dyDescent="0.25">
      <c r="A39" s="331"/>
      <c r="B39" s="609" t="s">
        <v>172</v>
      </c>
      <c r="C39" s="610"/>
      <c r="E39" s="611" t="s">
        <v>253</v>
      </c>
      <c r="F39" s="612"/>
      <c r="G39" s="612"/>
      <c r="H39" s="612"/>
      <c r="I39" s="612"/>
      <c r="J39" s="612"/>
      <c r="K39" s="612"/>
      <c r="L39" s="612"/>
      <c r="M39" s="612"/>
      <c r="N39" s="612"/>
      <c r="O39" s="613"/>
      <c r="R39" s="282">
        <f>ROUNDUP(((Ht_posée_calculée-Ht_SOUB)-Ht_Lame)/Pas_de_lame,0)</f>
        <v>12</v>
      </c>
    </row>
    <row r="40" spans="1:24" ht="30" customHeight="1" x14ac:dyDescent="0.2">
      <c r="A40" s="331"/>
      <c r="B40" s="403" t="s">
        <v>261</v>
      </c>
      <c r="C40" s="404">
        <f>ROUNDUP(Qté_Poteaux_posés/Qté_poteaux,0)</f>
        <v>14</v>
      </c>
      <c r="E40" s="375" t="s">
        <v>165</v>
      </c>
      <c r="F40" s="340"/>
      <c r="G40" s="373"/>
      <c r="H40" s="340"/>
      <c r="I40" s="340"/>
      <c r="J40" s="341">
        <f>VLOOKUP(Lg_Poteau_HT,'TARIF 2024'!C7:D8,2,0)*Qté_Poteaux_HT</f>
        <v>1176</v>
      </c>
      <c r="K40" s="373"/>
      <c r="O40" s="327"/>
    </row>
    <row r="41" spans="1:24" ht="30" customHeight="1" x14ac:dyDescent="0.2">
      <c r="A41" s="331"/>
      <c r="B41" s="405" t="s">
        <v>262</v>
      </c>
      <c r="C41" s="406">
        <f>IF(répartition_lames="Oui",Qté_lames_posées,((ROUNDUP(Qté_Lames_Trame_P/Qté_Lames_Trame_P_Lame,0))+(ROUNDUP(Qté_Lames_Trame_S/Qté_Lames_Trame_S_Lame,0)))-Qté_Toles_HT)</f>
        <v>158</v>
      </c>
      <c r="E41" s="376" t="s">
        <v>166</v>
      </c>
      <c r="F41" s="335"/>
      <c r="G41" s="334"/>
      <c r="H41" s="335"/>
      <c r="I41" s="335"/>
      <c r="J41" s="336">
        <f>Prix_Lame*Qté_Lames_HT</f>
        <v>8058</v>
      </c>
      <c r="K41" s="334"/>
      <c r="O41" s="327"/>
    </row>
    <row r="42" spans="1:24" ht="30" customHeight="1" x14ac:dyDescent="0.2">
      <c r="A42" s="331"/>
      <c r="B42" s="405" t="s">
        <v>173</v>
      </c>
      <c r="C42" s="406">
        <f>Qté_Poteaux_posés</f>
        <v>14</v>
      </c>
      <c r="E42" s="376" t="s">
        <v>167</v>
      </c>
      <c r="F42" s="335"/>
      <c r="G42" s="334"/>
      <c r="H42" s="335"/>
      <c r="I42" s="335"/>
      <c r="J42" s="336">
        <f>Qté_Embouts_HT*Prix_Embout</f>
        <v>224</v>
      </c>
      <c r="K42" s="334"/>
      <c r="O42" s="327"/>
    </row>
    <row r="43" spans="1:24" ht="30" customHeight="1" x14ac:dyDescent="0.2">
      <c r="A43" s="331"/>
      <c r="B43" s="405" t="s">
        <v>263</v>
      </c>
      <c r="C43" s="406">
        <f>Qté_closoirs</f>
        <v>2</v>
      </c>
      <c r="E43" s="376" t="s">
        <v>168</v>
      </c>
      <c r="F43" s="378"/>
      <c r="G43" s="374"/>
      <c r="H43" s="335"/>
      <c r="I43" s="335"/>
      <c r="J43" s="337">
        <f>VLOOKUP(Lg_Poteau_HT,Prix_Closoirs,2,0)*Qté_closoirs_HT</f>
        <v>38</v>
      </c>
      <c r="K43" s="374"/>
      <c r="O43" s="327"/>
    </row>
    <row r="44" spans="1:24" ht="30" customHeight="1" x14ac:dyDescent="0.2">
      <c r="A44" s="331"/>
      <c r="B44" s="405" t="s">
        <v>174</v>
      </c>
      <c r="C44" s="406">
        <f>Qté_Toles</f>
        <v>0</v>
      </c>
      <c r="E44" s="376" t="s">
        <v>170</v>
      </c>
      <c r="F44" s="379" t="s">
        <v>254</v>
      </c>
      <c r="H44" s="380" t="s">
        <v>254</v>
      </c>
      <c r="I44" s="321"/>
      <c r="J44" s="336" t="str">
        <f>IF(OR(M44=0,N44=0)," ",IF(N44="Ral std",IF(M44="Standard",Prix_Tôle_Standard*Qté_Toles*Nbre_Trames,Prix_Tôle_Laser*Qté_Toles*Nbre_Trames),IF(M44="Standard",Prix_Tôle_Standard*Qté_Toles*Nbre_Trames,Prix_Tôle_Laser*Qté_Toles*Nbre_Trames)+89))</f>
        <v xml:space="preserve"> </v>
      </c>
      <c r="K44" s="334"/>
      <c r="M44" s="343">
        <f>VLOOKUP(F44,'TARIF 2024'!K2:L42,2,0)</f>
        <v>0</v>
      </c>
      <c r="N44" s="343">
        <f>VLOOKUP(CALCULETTE!H44,'TARIF 2024'!H2:I25,2,FALSE)</f>
        <v>0</v>
      </c>
      <c r="O44" s="327"/>
    </row>
    <row r="45" spans="1:24" ht="30" customHeight="1" x14ac:dyDescent="0.2">
      <c r="A45" s="331"/>
      <c r="B45" s="405" t="s">
        <v>252</v>
      </c>
      <c r="C45" s="406">
        <f>IF(Type_Fixation="sur platine",Qté_entretoises_sur_Platine/2,Qté_entretoises_scellée/2)</f>
        <v>13</v>
      </c>
      <c r="E45" s="383" t="s">
        <v>251</v>
      </c>
      <c r="G45" s="334"/>
      <c r="H45" s="378"/>
      <c r="I45" s="378"/>
      <c r="J45" s="384">
        <f>Qté_entretoises_HT*Prix_Entretoise</f>
        <v>78</v>
      </c>
      <c r="K45" s="334"/>
      <c r="O45" s="327"/>
    </row>
    <row r="46" spans="1:24" ht="30" customHeight="1" x14ac:dyDescent="0.2">
      <c r="A46" s="331"/>
      <c r="B46" s="405" t="s">
        <v>175</v>
      </c>
      <c r="C46" s="406">
        <f>IF(Type_Fixation="à sceller",0,Qté_Poteaux_posés)</f>
        <v>0</v>
      </c>
      <c r="E46" s="376" t="s">
        <v>169</v>
      </c>
      <c r="F46" s="335"/>
      <c r="G46" s="386"/>
      <c r="H46" s="335"/>
      <c r="I46" s="335"/>
      <c r="J46" s="336" t="str">
        <f>IF(Type_Fixation="sur platine",Qté_Platines_HT*Prix_Platine," ")</f>
        <v xml:space="preserve"> </v>
      </c>
      <c r="K46" s="334"/>
      <c r="M46" s="381" t="s">
        <v>171</v>
      </c>
      <c r="N46" s="382">
        <f>IFERROR(SUM(J40:J46)," ")</f>
        <v>9574</v>
      </c>
      <c r="O46" s="327"/>
    </row>
    <row r="47" spans="1:24" ht="30" customHeight="1" thickBot="1" x14ac:dyDescent="0.25">
      <c r="A47" s="332"/>
      <c r="B47" s="407" t="s">
        <v>260</v>
      </c>
      <c r="C47" s="408">
        <f>Qté_Platines_HT*4</f>
        <v>0</v>
      </c>
      <c r="D47" s="329"/>
      <c r="E47" s="332"/>
      <c r="F47" s="329"/>
      <c r="G47" s="377"/>
      <c r="H47" s="329"/>
      <c r="I47" s="329"/>
      <c r="J47" s="385"/>
      <c r="K47" s="377"/>
      <c r="L47" s="329"/>
      <c r="M47" s="338"/>
      <c r="N47" s="339"/>
      <c r="O47" s="330"/>
    </row>
    <row r="48" spans="1:24" ht="30" customHeight="1" x14ac:dyDescent="0.2">
      <c r="C48" s="342"/>
      <c r="D48" s="342"/>
      <c r="E48" s="342"/>
      <c r="F48" s="342"/>
      <c r="J48" s="334"/>
    </row>
  </sheetData>
  <mergeCells count="37">
    <mergeCell ref="R4:S4"/>
    <mergeCell ref="J35:L35"/>
    <mergeCell ref="J37:L37"/>
    <mergeCell ref="E38:G38"/>
    <mergeCell ref="B26:N26"/>
    <mergeCell ref="J36:L36"/>
    <mergeCell ref="J38:L38"/>
    <mergeCell ref="E28:G28"/>
    <mergeCell ref="E29:G29"/>
    <mergeCell ref="E30:G30"/>
    <mergeCell ref="K5:M8"/>
    <mergeCell ref="E32:G36"/>
    <mergeCell ref="F18:H21"/>
    <mergeCell ref="E13:H16"/>
    <mergeCell ref="A1:O1"/>
    <mergeCell ref="E11:N11"/>
    <mergeCell ref="B3:C3"/>
    <mergeCell ref="E3:N3"/>
    <mergeCell ref="E12:H12"/>
    <mergeCell ref="K12:N12"/>
    <mergeCell ref="F5:H8"/>
    <mergeCell ref="B9:C9"/>
    <mergeCell ref="V6:W6"/>
    <mergeCell ref="T22:U22"/>
    <mergeCell ref="V22:W22"/>
    <mergeCell ref="B39:C39"/>
    <mergeCell ref="E39:O39"/>
    <mergeCell ref="E37:G37"/>
    <mergeCell ref="K13:N16"/>
    <mergeCell ref="R20:S20"/>
    <mergeCell ref="L18:M21"/>
    <mergeCell ref="K28:L28"/>
    <mergeCell ref="K29:L29"/>
    <mergeCell ref="E27:G27"/>
    <mergeCell ref="K27:L27"/>
    <mergeCell ref="J30:J33"/>
    <mergeCell ref="T6:U6"/>
  </mergeCells>
  <conditionalFormatting sqref="B13:C13 B36:C36">
    <cfRule type="expression" dxfId="28" priority="278">
      <formula>IF($C$11="sur platine",FALSE,TRUE)</formula>
    </cfRule>
  </conditionalFormatting>
  <conditionalFormatting sqref="B14:C14">
    <cfRule type="expression" dxfId="27" priority="277">
      <formula>IF($C11="sur platine",TRUE,FALSE)</formula>
    </cfRule>
  </conditionalFormatting>
  <conditionalFormatting sqref="B17:C17">
    <cfRule type="expression" dxfId="26" priority="2">
      <formula>IF($C$11="sur platine",TRUE,FALSE)</formula>
    </cfRule>
  </conditionalFormatting>
  <conditionalFormatting sqref="B20:C20">
    <cfRule type="expression" dxfId="25" priority="8">
      <formula>IF($C$19="Oui",TRUE,FALSE)</formula>
    </cfRule>
  </conditionalFormatting>
  <conditionalFormatting sqref="B22:C22">
    <cfRule type="containsText" dxfId="24" priority="24" operator="containsText" text="tôle pas possible">
      <formula>NOT(ISERROR(SEARCH("tôle pas possible",B22)))</formula>
    </cfRule>
  </conditionalFormatting>
  <conditionalFormatting sqref="B23:C23">
    <cfRule type="expression" dxfId="23" priority="10">
      <formula>IF($C$22="tôle pas possible",TRUE,FALSE)</formula>
    </cfRule>
  </conditionalFormatting>
  <conditionalFormatting sqref="B24:C25">
    <cfRule type="expression" dxfId="22" priority="11">
      <formula>IF($C$10="tôle pas possible",TRUE,FALSE)</formula>
    </cfRule>
  </conditionalFormatting>
  <conditionalFormatting sqref="B27:C27">
    <cfRule type="expression" dxfId="21" priority="4">
      <formula>IF($C$19="Non",TRUE,FALSE)</formula>
    </cfRule>
  </conditionalFormatting>
  <conditionalFormatting sqref="B37:C37">
    <cfRule type="expression" dxfId="20" priority="280">
      <formula>IF($C$11="sur platine",TRUE,FALSE)</formula>
    </cfRule>
  </conditionalFormatting>
  <conditionalFormatting sqref="C16">
    <cfRule type="expression" dxfId="19" priority="281">
      <formula>(IF(AND($C$11="sur platine",$C$16&gt;1000),TRUE,FALSE))</formula>
    </cfRule>
  </conditionalFormatting>
  <conditionalFormatting sqref="E12:H12">
    <cfRule type="expression" dxfId="18" priority="284">
      <formula>IF($C11="sur platine",TRUE,FALSE)</formula>
    </cfRule>
  </conditionalFormatting>
  <conditionalFormatting sqref="E4:I9">
    <cfRule type="cellIs" dxfId="17" priority="329" operator="equal">
      <formula>$C$15=25</formula>
    </cfRule>
  </conditionalFormatting>
  <conditionalFormatting sqref="E13:I17">
    <cfRule type="expression" dxfId="16" priority="311">
      <formula>IF(AND($C$13=8,$C$11="sur platine"),TRUE,FALSE)</formula>
    </cfRule>
  </conditionalFormatting>
  <conditionalFormatting sqref="E17:I22">
    <cfRule type="expression" dxfId="15" priority="312">
      <formula>IF(AND($C$13=25,$C$11="sur platine"),TRUE,FALSE)</formula>
    </cfRule>
  </conditionalFormatting>
  <conditionalFormatting sqref="J35:M38">
    <cfRule type="expression" dxfId="14" priority="3">
      <formula>IF($C$19="Oui",TRUE,FALSE)</formula>
    </cfRule>
  </conditionalFormatting>
  <conditionalFormatting sqref="J4:N9">
    <cfRule type="cellIs" dxfId="13" priority="328" operator="equal">
      <formula>$C$15=10</formula>
    </cfRule>
  </conditionalFormatting>
  <conditionalFormatting sqref="K12:N12">
    <cfRule type="expression" dxfId="12" priority="285">
      <formula>IF($C11="sur platine",FALSE,TRUE)</formula>
    </cfRule>
  </conditionalFormatting>
  <conditionalFormatting sqref="K12:N17">
    <cfRule type="expression" dxfId="10" priority="316">
      <formula>IF(AND($C$14=0,$C$11="à sceller"),TRUE,FALSE)</formula>
    </cfRule>
  </conditionalFormatting>
  <conditionalFormatting sqref="K17:N17 K18:L18 N18:N21 K19:K21 K22:N22">
    <cfRule type="expression" dxfId="9" priority="314">
      <formula>IF(AND($C$14=17,$C$11="à sceller"),TRUE,FALSE)</formula>
    </cfRule>
  </conditionalFormatting>
  <conditionalFormatting sqref="Q7:R18">
    <cfRule type="cellIs" dxfId="8" priority="13" operator="greaterThan">
      <formula>1000</formula>
    </cfRule>
  </conditionalFormatting>
  <conditionalFormatting sqref="Q23:S35 Q7:S18">
    <cfRule type="cellIs" dxfId="7" priority="326" operator="between">
      <formula>$C$16-(Pas_de_lame/2+0.5)</formula>
      <formula>$C$16+(Pas_de_lame/2+0.5)</formula>
    </cfRule>
  </conditionalFormatting>
  <conditionalFormatting sqref="R4 R5:S18 Q6:Q18">
    <cfRule type="expression" dxfId="6" priority="270">
      <formula>IF($C$10="sans Ajour",TRUE,FALSE)</formula>
    </cfRule>
  </conditionalFormatting>
  <conditionalFormatting sqref="R5:R18">
    <cfRule type="expression" dxfId="5" priority="295">
      <formula>(IF(AND($C$11&lt;&gt;"sur platine",$C$10="Ajouré"),TRUE,FALSE))</formula>
    </cfRule>
  </conditionalFormatting>
  <conditionalFormatting sqref="R20 R21:S26 Q22:Q26 Q27:S35">
    <cfRule type="expression" dxfId="4" priority="272">
      <formula>IF($C$10="Ajouré",TRUE,FALSE)</formula>
    </cfRule>
  </conditionalFormatting>
  <conditionalFormatting sqref="R21:R35">
    <cfRule type="expression" dxfId="3" priority="292">
      <formula>IF($C$11&lt;&gt;"sur platine",TRUE,FALSE)</formula>
    </cfRule>
  </conditionalFormatting>
  <conditionalFormatting sqref="R23:R35">
    <cfRule type="cellIs" dxfId="2" priority="12" operator="greaterThan">
      <formula>1000</formula>
    </cfRule>
  </conditionalFormatting>
  <conditionalFormatting sqref="S5:S18">
    <cfRule type="expression" dxfId="1" priority="294">
      <formula>IF(AND($C$10="Ajouré",$C$11="sur platine"),TRUE,FALSE)</formula>
    </cfRule>
  </conditionalFormatting>
  <conditionalFormatting sqref="S21:S35">
    <cfRule type="expression" dxfId="0" priority="296">
      <formula>IF(AND($C$10="sans ajour",$C$11="sur platine"),TRUE,FALSE)</formula>
    </cfRule>
  </conditionalFormatting>
  <dataValidations disablePrompts="1" count="14">
    <dataValidation type="whole" allowBlank="1" showInputMessage="1" showErrorMessage="1" errorTitle="Entraxe Poteaux" error="Entraxe MAXI = 2051" promptTitle="surface de remplissage" prompt="Entraxe = 1500 MAXI si Hauteur posée ≥ 1500" sqref="C27" xr:uid="{84B9F6EB-3FF0-4DE9-A528-4794083DFDB5}">
      <formula1>500</formula1>
      <formula2>2051</formula2>
    </dataValidation>
    <dataValidation type="list" errorStyle="warning" allowBlank="1" showInputMessage="1" showErrorMessage="1" errorTitle="Hauteur_posée MAX" error="Hauteur posée MX sur Platine = 1000" sqref="C16" xr:uid="{FF535718-3167-416F-9C3A-EBDB8B09CE82}">
      <formula1>"200,250,300,350,400,450,500,550,600,650,700,750,800,850,900,950,1000,1050,1100,1150,1200,1250,1300,1350,1400,1450,1500,1550,1600,1650,1700,1750,1800,1850,1900,1950,2000"</formula1>
    </dataValidation>
    <dataValidation type="list" allowBlank="1" showInputMessage="1" showErrorMessage="1" sqref="C14" xr:uid="{12E046C8-164F-480F-8E9C-B41C527CF2C9}">
      <formula1>"0,17"</formula1>
    </dataValidation>
    <dataValidation type="list" allowBlank="1" showInputMessage="1" showErrorMessage="1" sqref="C11" xr:uid="{FEEFC052-4F82-4275-9E98-AE9187DEFEFD}">
      <formula1>"sur platine, à sceller"</formula1>
    </dataValidation>
    <dataValidation type="list" errorStyle="information" allowBlank="1" showInputMessage="1" showErrorMessage="1" sqref="C15" xr:uid="{71BDB4E3-8B65-4F1F-8027-C5C546C6EF48}">
      <formula1>"10,25"</formula1>
    </dataValidation>
    <dataValidation type="list" allowBlank="1" showInputMessage="1" showErrorMessage="1" sqref="C13" xr:uid="{83254237-6C3E-4B07-BE37-943877B975D5}">
      <formula1>"8,25"</formula1>
    </dataValidation>
    <dataValidation type="list" allowBlank="1" showInputMessage="1" showErrorMessage="1" sqref="C10" xr:uid="{9DCA072F-3CE2-4812-A880-B656F189E070}">
      <formula1>"Ajouré, sans Ajour"</formula1>
    </dataValidation>
    <dataValidation type="list" allowBlank="1" showInputMessage="1" showErrorMessage="1" sqref="C24" xr:uid="{CBFEC8AD-9E59-4195-A095-88406C08CF93}">
      <formula1>"0,1,2,3,4,5,6,7"</formula1>
    </dataValidation>
    <dataValidation type="list" allowBlank="1" showInputMessage="1" showErrorMessage="1" sqref="C21" xr:uid="{C461AEC2-3147-4E86-A307-3BD063B00C51}">
      <formula1>"2300,2500"</formula1>
    </dataValidation>
    <dataValidation type="list" allowBlank="1" showInputMessage="1" showErrorMessage="1" sqref="C25" xr:uid="{66A83B4D-686C-4EF4-9A5A-E07C2A7911CA}">
      <formula1>"Noir - 9005 FT,Gris - 7016 FT"</formula1>
    </dataValidation>
    <dataValidation type="whole" allowBlank="1" showInputMessage="1" showErrorMessage="1" sqref="C12" xr:uid="{4083D062-6D85-4C04-A739-3ECC1372D041}">
      <formula1>0</formula1>
      <formula2>2000</formula2>
    </dataValidation>
    <dataValidation type="list" allowBlank="1" showInputMessage="1" showErrorMessage="1" sqref="C19" xr:uid="{9BF85BDB-5B22-4E27-AF8F-1CC9DFEEAE57}">
      <formula1>"Oui,Non"</formula1>
    </dataValidation>
    <dataValidation type="whole" allowBlank="1" showInputMessage="1" showErrorMessage="1" errorTitle="Entraxe Poteaux" error="Entraxe non valide_x000a_Entraxe MAXI = 2051" promptTitle="Entraxe MAX / lg cloture" prompt="mini Lg cloture - 85mm" sqref="C20" xr:uid="{5389E484-14D7-42E9-BAD4-442B31680EEE}">
      <formula1>500</formula1>
      <formula2>2051</formula2>
    </dataValidation>
    <dataValidation allowBlank="1" showInputMessage="1" showErrorMessage="1" promptTitle="-            unités            -" prompt="Longueur cloture en mm" sqref="C18" xr:uid="{CF1B3D77-1BFC-41C2-82D9-5282242E23DB}"/>
  </dataValidations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48" orientation="portrait" r:id="rId1"/>
  <ignoredErrors>
    <ignoredError sqref="J41" evalError="1"/>
  </ignoredError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93" operator="containsText" id="{D1D506E6-D696-4BC9-995D-1452913F94D4}">
            <xm:f>NOT(ISERROR(SEARCH($C$11="à sceller;scellé avec renfort",K12)))</xm:f>
            <xm:f>$C$11="à sceller;scellé avec renfort"</xm:f>
            <x14:dxf>
              <fill>
                <patternFill>
                  <bgColor theme="8" tint="0.59996337778862885"/>
                </patternFill>
              </fill>
            </x14:dxf>
          </x14:cfRule>
          <xm:sqref>K12:N12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EB16464A-6C4C-43C4-8A78-179F33C822CA}">
          <x14:formula1>
            <xm:f>'TARIF 2024'!$K$2:$K$42</xm:f>
          </x14:formula1>
          <xm:sqref>F44</xm:sqref>
        </x14:dataValidation>
        <x14:dataValidation type="list" allowBlank="1" showInputMessage="1" showErrorMessage="1" xr:uid="{219D3C79-D4BE-460F-AA85-A969F539D8F2}">
          <x14:formula1>
            <xm:f>'TARIF 2024'!$H$3:$H$25</xm:f>
          </x14:formula1>
          <xm:sqref>H44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14C85-0F60-44B0-82C4-396E94C85AAB}">
  <dimension ref="A2:P9"/>
  <sheetViews>
    <sheetView zoomScaleNormal="100" workbookViewId="0">
      <selection activeCell="J16" sqref="J16"/>
    </sheetView>
  </sheetViews>
  <sheetFormatPr baseColWidth="10" defaultColWidth="11.5703125" defaultRowHeight="12.75" x14ac:dyDescent="0.2"/>
  <cols>
    <col min="1" max="2" width="7.5703125" style="419" customWidth="1"/>
    <col min="3" max="3" width="8.7109375" style="419" customWidth="1"/>
    <col min="4" max="4" width="10.7109375" style="419" customWidth="1"/>
    <col min="5" max="5" width="14.28515625" style="419" customWidth="1"/>
    <col min="6" max="7" width="11.5703125" style="419"/>
    <col min="8" max="8" width="7.28515625" style="419" customWidth="1"/>
    <col min="9" max="9" width="11.5703125" style="419"/>
    <col min="10" max="10" width="13.85546875" style="419" customWidth="1"/>
    <col min="11" max="11" width="11.5703125" style="419"/>
    <col min="12" max="12" width="7" style="419" customWidth="1"/>
    <col min="13" max="13" width="11.5703125" style="419" customWidth="1"/>
    <col min="14" max="16384" width="11.5703125" style="419"/>
  </cols>
  <sheetData>
    <row r="2" spans="1:16" x14ac:dyDescent="0.2">
      <c r="F2" s="639" t="s">
        <v>289</v>
      </c>
      <c r="G2" s="639"/>
      <c r="H2" s="426">
        <f>Ht_posée_calculée</f>
        <v>1828</v>
      </c>
      <c r="I2" s="420" t="s">
        <v>281</v>
      </c>
    </row>
    <row r="3" spans="1:16" x14ac:dyDescent="0.2">
      <c r="A3" s="641" t="s">
        <v>283</v>
      </c>
      <c r="B3" s="641"/>
      <c r="C3" s="641"/>
    </row>
    <row r="4" spans="1:16" x14ac:dyDescent="0.2">
      <c r="A4" s="429"/>
      <c r="B4" s="431">
        <f>Nbre_Trames</f>
        <v>13</v>
      </c>
      <c r="C4" s="430"/>
      <c r="E4" s="639" t="s">
        <v>284</v>
      </c>
      <c r="F4" s="639"/>
      <c r="G4" s="639"/>
      <c r="H4" s="639"/>
      <c r="I4" s="427">
        <f>Longueur_Cloture</f>
        <v>25000</v>
      </c>
      <c r="J4" s="420" t="s">
        <v>281</v>
      </c>
    </row>
    <row r="5" spans="1:16" x14ac:dyDescent="0.2">
      <c r="D5" s="642" t="e" vm="8">
        <v>#VALUE!</v>
      </c>
      <c r="E5" s="642"/>
      <c r="F5" s="642"/>
      <c r="G5" s="642"/>
      <c r="H5" s="642"/>
      <c r="I5" s="642"/>
      <c r="J5" s="642"/>
      <c r="K5" s="642"/>
      <c r="L5" s="642"/>
      <c r="M5" s="642"/>
    </row>
    <row r="6" spans="1:16" x14ac:dyDescent="0.2">
      <c r="A6" s="641" t="s">
        <v>282</v>
      </c>
      <c r="B6" s="641"/>
      <c r="C6" s="641"/>
      <c r="D6" s="642"/>
      <c r="E6" s="642"/>
      <c r="F6" s="642"/>
      <c r="G6" s="642"/>
      <c r="H6" s="642"/>
      <c r="I6" s="642"/>
      <c r="J6" s="642"/>
      <c r="K6" s="642"/>
      <c r="L6" s="642"/>
      <c r="M6" s="642"/>
      <c r="N6" s="640" t="s">
        <v>280</v>
      </c>
      <c r="O6" s="640"/>
    </row>
    <row r="7" spans="1:16" x14ac:dyDescent="0.2">
      <c r="B7" s="431">
        <f>Lg_Poteau_posé</f>
        <v>2353</v>
      </c>
      <c r="C7" s="419" t="s">
        <v>281</v>
      </c>
      <c r="D7" s="642"/>
      <c r="E7" s="642"/>
      <c r="F7" s="642"/>
      <c r="G7" s="642"/>
      <c r="H7" s="642"/>
      <c r="I7" s="642"/>
      <c r="J7" s="642"/>
      <c r="K7" s="642"/>
      <c r="L7" s="642"/>
      <c r="M7" s="642"/>
      <c r="N7" s="422">
        <f>B7-P7</f>
        <v>1853</v>
      </c>
      <c r="O7" s="422" t="s">
        <v>281</v>
      </c>
      <c r="P7" s="422">
        <f>IF(Type_Fixation="sur platine",0,Prof_scellement)</f>
        <v>500</v>
      </c>
    </row>
    <row r="8" spans="1:16" x14ac:dyDescent="0.2">
      <c r="D8" s="642"/>
      <c r="E8" s="642"/>
      <c r="F8" s="642"/>
      <c r="G8" s="642"/>
      <c r="H8" s="642"/>
      <c r="I8" s="642"/>
      <c r="J8" s="642"/>
      <c r="K8" s="642"/>
      <c r="L8" s="642"/>
      <c r="M8" s="642"/>
      <c r="N8" s="422"/>
      <c r="O8" s="422"/>
    </row>
    <row r="9" spans="1:16" ht="26.45" customHeight="1" x14ac:dyDescent="0.2">
      <c r="E9" s="643" t="s">
        <v>287</v>
      </c>
      <c r="F9" s="643"/>
      <c r="G9" s="428">
        <f>IF(CALCULETTE!$C$19="Oui",longueur_trame_homogène,Longueur_Trame_manuelle)</f>
        <v>2051</v>
      </c>
      <c r="H9" s="419" t="s">
        <v>281</v>
      </c>
      <c r="I9" s="643" t="s">
        <v>288</v>
      </c>
      <c r="J9" s="643"/>
      <c r="K9" s="428">
        <f>IF(CALCULETTE!$C$19="Oui",longueur_trame_homogène,Entraxe_derniers_poteaux)</f>
        <v>303</v>
      </c>
      <c r="L9" s="419" t="s">
        <v>281</v>
      </c>
    </row>
  </sheetData>
  <mergeCells count="8">
    <mergeCell ref="F2:G2"/>
    <mergeCell ref="N6:O6"/>
    <mergeCell ref="A6:C6"/>
    <mergeCell ref="D5:M8"/>
    <mergeCell ref="I9:J9"/>
    <mergeCell ref="E9:F9"/>
    <mergeCell ref="A3:C3"/>
    <mergeCell ref="E4:H4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94102-E63B-4B56-A60D-36E919DEE7F2}">
  <dimension ref="A1"/>
  <sheetViews>
    <sheetView topLeftCell="A34" zoomScale="30" zoomScaleNormal="30" workbookViewId="0">
      <selection activeCell="BK147" sqref="BK147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FB08D-AB42-4573-876B-FC6C5258447C}">
  <dimension ref="A1:L42"/>
  <sheetViews>
    <sheetView showGridLines="0" workbookViewId="0">
      <selection activeCell="M18" sqref="M18"/>
    </sheetView>
  </sheetViews>
  <sheetFormatPr baseColWidth="10" defaultRowHeight="12.75" x14ac:dyDescent="0.2"/>
  <cols>
    <col min="2" max="2" width="11.42578125" style="333"/>
    <col min="3" max="3" width="17.28515625" customWidth="1"/>
    <col min="8" max="8" width="43.28515625" hidden="1" customWidth="1"/>
    <col min="9" max="9" width="8.140625" hidden="1" customWidth="1"/>
    <col min="10" max="10" width="11.42578125" hidden="1" customWidth="1"/>
    <col min="11" max="11" width="17.85546875" hidden="1" customWidth="1"/>
    <col min="12" max="12" width="11.42578125" hidden="1" customWidth="1"/>
  </cols>
  <sheetData>
    <row r="1" spans="1:12" x14ac:dyDescent="0.2">
      <c r="A1" s="366" t="s">
        <v>178</v>
      </c>
      <c r="H1" s="367" t="s">
        <v>180</v>
      </c>
      <c r="I1" s="368"/>
      <c r="K1" s="369" t="s">
        <v>181</v>
      </c>
      <c r="L1" s="368" t="s">
        <v>182</v>
      </c>
    </row>
    <row r="2" spans="1:12" ht="13.5" thickBot="1" x14ac:dyDescent="0.25">
      <c r="H2" s="370" t="s">
        <v>183</v>
      </c>
      <c r="I2" s="368"/>
      <c r="J2" s="371"/>
      <c r="K2" s="370" t="s">
        <v>254</v>
      </c>
      <c r="L2" s="372">
        <v>0</v>
      </c>
    </row>
    <row r="3" spans="1:12" x14ac:dyDescent="0.2">
      <c r="B3" s="344" t="s">
        <v>117</v>
      </c>
      <c r="C3" s="359">
        <v>2000</v>
      </c>
      <c r="D3" s="346">
        <v>51</v>
      </c>
      <c r="H3" s="370" t="s">
        <v>254</v>
      </c>
      <c r="I3" s="368">
        <v>0</v>
      </c>
      <c r="K3" s="372" t="s">
        <v>184</v>
      </c>
      <c r="L3" s="372" t="s">
        <v>185</v>
      </c>
    </row>
    <row r="4" spans="1:12" x14ac:dyDescent="0.2">
      <c r="B4" s="350"/>
      <c r="C4" s="360"/>
      <c r="D4" s="351"/>
      <c r="H4" s="369" t="s">
        <v>187</v>
      </c>
      <c r="I4" s="368" t="s">
        <v>179</v>
      </c>
      <c r="K4" s="372" t="s">
        <v>186</v>
      </c>
      <c r="L4" s="372" t="s">
        <v>185</v>
      </c>
    </row>
    <row r="5" spans="1:12" x14ac:dyDescent="0.2">
      <c r="B5" s="345" t="s">
        <v>158</v>
      </c>
      <c r="C5" s="361"/>
      <c r="D5" s="347">
        <v>6</v>
      </c>
      <c r="H5" s="369" t="s">
        <v>190</v>
      </c>
      <c r="I5" s="368" t="s">
        <v>179</v>
      </c>
      <c r="K5" s="372" t="s">
        <v>188</v>
      </c>
      <c r="L5" s="372" t="s">
        <v>185</v>
      </c>
    </row>
    <row r="6" spans="1:12" x14ac:dyDescent="0.2">
      <c r="B6" s="348"/>
      <c r="C6" s="362"/>
      <c r="D6" s="352"/>
      <c r="H6" s="369" t="s">
        <v>192</v>
      </c>
      <c r="I6" s="368" t="s">
        <v>179</v>
      </c>
      <c r="K6" s="372" t="s">
        <v>189</v>
      </c>
      <c r="L6" s="372" t="s">
        <v>185</v>
      </c>
    </row>
    <row r="7" spans="1:12" x14ac:dyDescent="0.2">
      <c r="B7" s="644" t="s">
        <v>159</v>
      </c>
      <c r="C7" s="363">
        <v>2300</v>
      </c>
      <c r="D7" s="353">
        <v>77</v>
      </c>
      <c r="H7" s="369" t="s">
        <v>194</v>
      </c>
      <c r="I7" s="368" t="s">
        <v>179</v>
      </c>
      <c r="K7" s="372" t="s">
        <v>191</v>
      </c>
      <c r="L7" s="372" t="s">
        <v>185</v>
      </c>
    </row>
    <row r="8" spans="1:12" x14ac:dyDescent="0.2">
      <c r="B8" s="644"/>
      <c r="C8" s="363">
        <v>2500</v>
      </c>
      <c r="D8" s="354">
        <v>84</v>
      </c>
      <c r="H8" s="369" t="s">
        <v>196</v>
      </c>
      <c r="I8" s="368" t="s">
        <v>179</v>
      </c>
      <c r="K8" s="372" t="s">
        <v>193</v>
      </c>
      <c r="L8" s="372" t="s">
        <v>185</v>
      </c>
    </row>
    <row r="9" spans="1:12" x14ac:dyDescent="0.2">
      <c r="B9" s="348"/>
      <c r="C9" s="362"/>
      <c r="D9" s="349"/>
      <c r="H9" s="369" t="s">
        <v>199</v>
      </c>
      <c r="I9" s="368" t="s">
        <v>179</v>
      </c>
      <c r="K9" s="372" t="s">
        <v>195</v>
      </c>
      <c r="L9" s="372" t="s">
        <v>185</v>
      </c>
    </row>
    <row r="10" spans="1:12" x14ac:dyDescent="0.2">
      <c r="B10" s="645" t="s">
        <v>162</v>
      </c>
      <c r="C10" s="363">
        <v>2300</v>
      </c>
      <c r="D10" s="353">
        <v>17</v>
      </c>
      <c r="H10" s="369" t="s">
        <v>201</v>
      </c>
      <c r="I10" s="368" t="s">
        <v>179</v>
      </c>
      <c r="K10" s="372" t="s">
        <v>197</v>
      </c>
      <c r="L10" s="372" t="s">
        <v>185</v>
      </c>
    </row>
    <row r="11" spans="1:12" x14ac:dyDescent="0.2">
      <c r="B11" s="645"/>
      <c r="C11" s="363">
        <v>2500</v>
      </c>
      <c r="D11" s="354">
        <v>19</v>
      </c>
      <c r="H11" s="369" t="s">
        <v>203</v>
      </c>
      <c r="I11" s="368" t="s">
        <v>179</v>
      </c>
      <c r="K11" s="372" t="s">
        <v>198</v>
      </c>
      <c r="L11" s="372" t="s">
        <v>185</v>
      </c>
    </row>
    <row r="12" spans="1:12" x14ac:dyDescent="0.2">
      <c r="B12" s="356"/>
      <c r="C12" s="364"/>
      <c r="D12" s="357"/>
      <c r="H12" s="369" t="s">
        <v>205</v>
      </c>
      <c r="I12" s="368" t="s">
        <v>179</v>
      </c>
      <c r="K12" s="372" t="s">
        <v>200</v>
      </c>
      <c r="L12" s="372" t="s">
        <v>185</v>
      </c>
    </row>
    <row r="13" spans="1:12" x14ac:dyDescent="0.2">
      <c r="B13" s="355" t="s">
        <v>163</v>
      </c>
      <c r="C13" s="363"/>
      <c r="D13" s="354">
        <v>16</v>
      </c>
      <c r="H13" s="369" t="s">
        <v>207</v>
      </c>
      <c r="I13" s="368" t="s">
        <v>179</v>
      </c>
      <c r="K13" s="372" t="s">
        <v>202</v>
      </c>
      <c r="L13" s="372" t="s">
        <v>185</v>
      </c>
    </row>
    <row r="14" spans="1:12" x14ac:dyDescent="0.2">
      <c r="B14" s="355" t="s">
        <v>164</v>
      </c>
      <c r="C14" s="363"/>
      <c r="D14" s="354">
        <v>34</v>
      </c>
      <c r="H14" s="369" t="s">
        <v>209</v>
      </c>
      <c r="I14" s="368" t="s">
        <v>179</v>
      </c>
      <c r="K14" s="372" t="s">
        <v>204</v>
      </c>
      <c r="L14" s="372" t="s">
        <v>185</v>
      </c>
    </row>
    <row r="15" spans="1:12" x14ac:dyDescent="0.2">
      <c r="B15" s="348"/>
      <c r="C15" s="362"/>
      <c r="D15" s="349"/>
      <c r="H15" s="369" t="s">
        <v>211</v>
      </c>
      <c r="I15" s="368" t="s">
        <v>179</v>
      </c>
      <c r="K15" s="372" t="s">
        <v>206</v>
      </c>
      <c r="L15" s="372" t="s">
        <v>185</v>
      </c>
    </row>
    <row r="16" spans="1:12" x14ac:dyDescent="0.2">
      <c r="B16" s="645" t="s">
        <v>160</v>
      </c>
      <c r="C16" s="363" t="s">
        <v>185</v>
      </c>
      <c r="D16" s="354">
        <v>109</v>
      </c>
      <c r="H16" s="369" t="s">
        <v>214</v>
      </c>
      <c r="I16" s="368" t="s">
        <v>179</v>
      </c>
      <c r="K16" s="372" t="s">
        <v>208</v>
      </c>
      <c r="L16" s="372" t="s">
        <v>185</v>
      </c>
    </row>
    <row r="17" spans="2:12" ht="13.5" thickBot="1" x14ac:dyDescent="0.25">
      <c r="B17" s="646"/>
      <c r="C17" s="365" t="s">
        <v>161</v>
      </c>
      <c r="D17" s="358">
        <v>144</v>
      </c>
      <c r="H17" s="369" t="s">
        <v>216</v>
      </c>
      <c r="I17" s="368" t="s">
        <v>179</v>
      </c>
      <c r="K17" s="372" t="s">
        <v>210</v>
      </c>
      <c r="L17" s="372" t="s">
        <v>185</v>
      </c>
    </row>
    <row r="18" spans="2:12" x14ac:dyDescent="0.2">
      <c r="H18" s="369" t="s">
        <v>218</v>
      </c>
      <c r="I18" s="368" t="s">
        <v>179</v>
      </c>
      <c r="K18" s="372" t="s">
        <v>212</v>
      </c>
      <c r="L18" s="372" t="s">
        <v>213</v>
      </c>
    </row>
    <row r="19" spans="2:12" x14ac:dyDescent="0.2">
      <c r="H19" s="369" t="s">
        <v>220</v>
      </c>
      <c r="I19" s="368" t="s">
        <v>179</v>
      </c>
      <c r="K19" s="372" t="s">
        <v>215</v>
      </c>
      <c r="L19" s="372" t="s">
        <v>213</v>
      </c>
    </row>
    <row r="20" spans="2:12" x14ac:dyDescent="0.2">
      <c r="H20" s="369" t="s">
        <v>222</v>
      </c>
      <c r="I20" s="368" t="s">
        <v>179</v>
      </c>
      <c r="K20" s="372" t="s">
        <v>217</v>
      </c>
      <c r="L20" s="372" t="s">
        <v>213</v>
      </c>
    </row>
    <row r="21" spans="2:12" x14ac:dyDescent="0.2">
      <c r="H21" s="369" t="s">
        <v>224</v>
      </c>
      <c r="I21" s="368" t="s">
        <v>179</v>
      </c>
      <c r="K21" s="372" t="s">
        <v>219</v>
      </c>
      <c r="L21" s="372" t="s">
        <v>213</v>
      </c>
    </row>
    <row r="22" spans="2:12" x14ac:dyDescent="0.2">
      <c r="H22" s="369" t="s">
        <v>227</v>
      </c>
      <c r="I22" s="368" t="s">
        <v>179</v>
      </c>
      <c r="K22" s="372" t="s">
        <v>221</v>
      </c>
      <c r="L22" s="372" t="s">
        <v>213</v>
      </c>
    </row>
    <row r="23" spans="2:12" x14ac:dyDescent="0.2">
      <c r="H23" s="369" t="s">
        <v>229</v>
      </c>
      <c r="I23" s="368" t="s">
        <v>179</v>
      </c>
      <c r="K23" s="372" t="s">
        <v>223</v>
      </c>
      <c r="L23" s="372" t="s">
        <v>213</v>
      </c>
    </row>
    <row r="24" spans="2:12" x14ac:dyDescent="0.2">
      <c r="H24" s="369" t="s">
        <v>230</v>
      </c>
      <c r="I24" s="368" t="s">
        <v>179</v>
      </c>
      <c r="K24" s="372" t="s">
        <v>225</v>
      </c>
      <c r="L24" s="372" t="s">
        <v>213</v>
      </c>
    </row>
    <row r="25" spans="2:12" x14ac:dyDescent="0.2">
      <c r="H25" s="369" t="s">
        <v>233</v>
      </c>
      <c r="I25" s="368" t="s">
        <v>234</v>
      </c>
      <c r="K25" s="372" t="s">
        <v>226</v>
      </c>
      <c r="L25" s="372" t="s">
        <v>213</v>
      </c>
    </row>
    <row r="26" spans="2:12" x14ac:dyDescent="0.2">
      <c r="K26" s="372" t="s">
        <v>228</v>
      </c>
      <c r="L26" s="372" t="s">
        <v>213</v>
      </c>
    </row>
    <row r="27" spans="2:12" x14ac:dyDescent="0.2">
      <c r="K27" s="372" t="s">
        <v>248</v>
      </c>
      <c r="L27" s="372" t="s">
        <v>213</v>
      </c>
    </row>
    <row r="28" spans="2:12" x14ac:dyDescent="0.2">
      <c r="K28" s="372" t="s">
        <v>231</v>
      </c>
      <c r="L28" s="372" t="s">
        <v>213</v>
      </c>
    </row>
    <row r="29" spans="2:12" x14ac:dyDescent="0.2">
      <c r="K29" s="372" t="s">
        <v>232</v>
      </c>
      <c r="L29" s="372" t="s">
        <v>213</v>
      </c>
    </row>
    <row r="30" spans="2:12" x14ac:dyDescent="0.2">
      <c r="K30" s="372" t="s">
        <v>235</v>
      </c>
      <c r="L30" s="372" t="s">
        <v>213</v>
      </c>
    </row>
    <row r="31" spans="2:12" x14ac:dyDescent="0.2">
      <c r="K31" s="372" t="s">
        <v>236</v>
      </c>
      <c r="L31" s="372" t="s">
        <v>213</v>
      </c>
    </row>
    <row r="32" spans="2:12" x14ac:dyDescent="0.2">
      <c r="K32" s="372" t="s">
        <v>237</v>
      </c>
      <c r="L32" s="372" t="s">
        <v>213</v>
      </c>
    </row>
    <row r="33" spans="11:12" x14ac:dyDescent="0.2">
      <c r="K33" s="372" t="s">
        <v>238</v>
      </c>
      <c r="L33" s="372" t="s">
        <v>213</v>
      </c>
    </row>
    <row r="34" spans="11:12" x14ac:dyDescent="0.2">
      <c r="K34" s="372" t="s">
        <v>239</v>
      </c>
      <c r="L34" s="372" t="s">
        <v>213</v>
      </c>
    </row>
    <row r="35" spans="11:12" x14ac:dyDescent="0.2">
      <c r="K35" s="372" t="s">
        <v>240</v>
      </c>
      <c r="L35" s="372" t="s">
        <v>213</v>
      </c>
    </row>
    <row r="36" spans="11:12" x14ac:dyDescent="0.2">
      <c r="K36" s="372" t="s">
        <v>241</v>
      </c>
      <c r="L36" s="372" t="s">
        <v>213</v>
      </c>
    </row>
    <row r="37" spans="11:12" x14ac:dyDescent="0.2">
      <c r="K37" s="372" t="s">
        <v>242</v>
      </c>
      <c r="L37" s="372" t="s">
        <v>213</v>
      </c>
    </row>
    <row r="38" spans="11:12" x14ac:dyDescent="0.2">
      <c r="K38" s="372" t="s">
        <v>243</v>
      </c>
      <c r="L38" s="372" t="s">
        <v>213</v>
      </c>
    </row>
    <row r="39" spans="11:12" x14ac:dyDescent="0.2">
      <c r="K39" s="372" t="s">
        <v>244</v>
      </c>
      <c r="L39" s="372" t="s">
        <v>213</v>
      </c>
    </row>
    <row r="40" spans="11:12" x14ac:dyDescent="0.2">
      <c r="K40" s="372" t="s">
        <v>245</v>
      </c>
      <c r="L40" s="372" t="s">
        <v>213</v>
      </c>
    </row>
    <row r="41" spans="11:12" x14ac:dyDescent="0.2">
      <c r="K41" s="372" t="s">
        <v>246</v>
      </c>
      <c r="L41" s="372" t="s">
        <v>213</v>
      </c>
    </row>
    <row r="42" spans="11:12" x14ac:dyDescent="0.2">
      <c r="K42" s="372" t="s">
        <v>247</v>
      </c>
      <c r="L42" s="372" t="s">
        <v>213</v>
      </c>
    </row>
  </sheetData>
  <mergeCells count="3">
    <mergeCell ref="B7:B8"/>
    <mergeCell ref="B10:B11"/>
    <mergeCell ref="B16:B1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v W A s W V U L K t 6 k A A A A 9 g A A A B I A H A B D b 2 5 m a W c v U G F j a 2 F n Z S 5 4 b W w g o h g A K K A U A A A A A A A A A A A A A A A A A A A A A A A A A A A A h Y 8 x D o I w G I W v Q r r T l r I Q 8 l M G E y d J j C b G l Z Q C j V B M W y x 3 c / B I X k G M o m 6 O 7 3 v f 8 N 7 9 e o N 8 6 r v g I o 1 V g 8 5 Q h C k K p B Z D p X S T o d H V Y Y J y D t t S n M p G B r O s b T r Z K k O t c + e U E O 8 9 9 j E e T E M Y p R E 5 F p u 9 a G V f o o + s / s u h 0 t a V W k j E 4 f A a w x m O Y o Z j l m A K Z I F Q K P 0 V 2 L z 3 2 f 5 A W I 2 d G 4 3 k t Q n X O y B L B P L + w B 9 Q S w M E F A A C A A g A v W A s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1 g L F k o i k e 4 D g A A A B E A A A A T A B w A R m 9 y b X V s Y X M v U 2 V j d G l v b j E u b S C i G A A o o B Q A A A A A A A A A A A A A A A A A A A A A A A A A A A A r T k 0 u y c z P U w i G 0 I b W A F B L A Q I t A B Q A A g A I A L 1 g L F l V C y r e p A A A A P Y A A A A S A A A A A A A A A A A A A A A A A A A A A A B D b 2 5 m a W c v U G F j a 2 F n Z S 5 4 b W x Q S w E C L Q A U A A I A C A C 9 Y C x Z D 8 r p q 6 Q A A A D p A A A A E w A A A A A A A A A A A A A A A A D w A A A A W 0 N v b n R l b n R f V H l w Z X N d L n h t b F B L A Q I t A B Q A A g A I A L 1 g L F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+ 2 w M a Y H Y 7 T K d X W L Y + 9 G 4 r A A A A A A I A A A A A A A N m A A D A A A A A E A A A A L b a T x Q R + 4 D J H J M o 7 W A a R z k A A A A A B I A A A K A A A A A Q A A A A b 5 o 0 q G A + w 2 S 6 2 v d g h G O f E V A A A A A d k K Z I / B B 1 2 h l E q 8 m o n 5 g P / O i f + p d 9 K 9 K a z d N 9 i H p p 1 8 U i Z T t z k Q z + H L a D R q H g q V W J y a 1 H d c S Y 5 o j 3 1 M L C L / H k V K l 0 x U + s 3 R b s M d C x 0 o o F f h Q A A A B b 9 Z E 6 Z g D C i + u 7 J E f X v m h Z 0 O d e x A = = < / D a t a M a s h u p > 
</file>

<file path=customXml/itemProps1.xml><?xml version="1.0" encoding="utf-8"?>
<ds:datastoreItem xmlns:ds="http://schemas.openxmlformats.org/officeDocument/2006/customXml" ds:itemID="{DC1434D8-C35A-44F0-94CE-103604E274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59</vt:i4>
      </vt:variant>
    </vt:vector>
  </HeadingPairs>
  <TitlesOfParts>
    <vt:vector size="65" baseType="lpstr">
      <vt:lpstr>Trame</vt:lpstr>
      <vt:lpstr>ALU OUV 160x28</vt:lpstr>
      <vt:lpstr>CALCULETTE</vt:lpstr>
      <vt:lpstr>VISUEL</vt:lpstr>
      <vt:lpstr>DESCRIPTIF</vt:lpstr>
      <vt:lpstr>TARIF 2024</vt:lpstr>
      <vt:lpstr>Entraxe_derniers_poteaux</vt:lpstr>
      <vt:lpstr>Entraxe_lames_choisi</vt:lpstr>
      <vt:lpstr>Entraxe_Lames_Cl_Ajourée</vt:lpstr>
      <vt:lpstr>Entraxe_Lames_sans_Ajour</vt:lpstr>
      <vt:lpstr>Entraxe_MAXI_calculé</vt:lpstr>
      <vt:lpstr>Ep_Platine</vt:lpstr>
      <vt:lpstr>Hauteur_posée_souhaitée</vt:lpstr>
      <vt:lpstr>Ht_Lame</vt:lpstr>
      <vt:lpstr>Ht_posée_calculée</vt:lpstr>
      <vt:lpstr>Ht_SOUB</vt:lpstr>
      <vt:lpstr>jeu_bas_choisi</vt:lpstr>
      <vt:lpstr>Jeu_Bas_Scellé</vt:lpstr>
      <vt:lpstr>Jeu_bas_sur_Platine</vt:lpstr>
      <vt:lpstr>Jeu_Haut</vt:lpstr>
      <vt:lpstr>Lg_Lame_derniere_Trame</vt:lpstr>
      <vt:lpstr>Lg_Lame_posée</vt:lpstr>
      <vt:lpstr>Lg_Poteau_HT</vt:lpstr>
      <vt:lpstr>Lg_Poteau_posé</vt:lpstr>
      <vt:lpstr>Longueur_Cloture</vt:lpstr>
      <vt:lpstr>Longueur_Lame</vt:lpstr>
      <vt:lpstr>Longueur_Trame_choisie</vt:lpstr>
      <vt:lpstr>longueur_trame_homogène</vt:lpstr>
      <vt:lpstr>Longueur_Trame_manuelle</vt:lpstr>
      <vt:lpstr>Nbre_Trames</vt:lpstr>
      <vt:lpstr>Nbre_Trames_Homogènes</vt:lpstr>
      <vt:lpstr>option_Tole</vt:lpstr>
      <vt:lpstr>Pas_de_lame</vt:lpstr>
      <vt:lpstr>Prix_Closoirs</vt:lpstr>
      <vt:lpstr>Prix_Embout</vt:lpstr>
      <vt:lpstr>Prix_Entretoise</vt:lpstr>
      <vt:lpstr>Prix_Lame</vt:lpstr>
      <vt:lpstr>Prix_Platine</vt:lpstr>
      <vt:lpstr>Prix_Tôle_Laser</vt:lpstr>
      <vt:lpstr>Prix_Tôle_Standard</vt:lpstr>
      <vt:lpstr>Prof_scellement</vt:lpstr>
      <vt:lpstr>Qté_closoirs</vt:lpstr>
      <vt:lpstr>Qté_closoirs_HT</vt:lpstr>
      <vt:lpstr>Qté_Embouts_HT</vt:lpstr>
      <vt:lpstr>Qté_entretoises_HT</vt:lpstr>
      <vt:lpstr>Qté_entretoises_scellée</vt:lpstr>
      <vt:lpstr>Qté_entretoises_sur_Platine</vt:lpstr>
      <vt:lpstr>Qté_Lame_par_trame</vt:lpstr>
      <vt:lpstr>Qté_Lames_HT</vt:lpstr>
      <vt:lpstr>Qté_lames_posées</vt:lpstr>
      <vt:lpstr>Qté_Lames_Trame_P</vt:lpstr>
      <vt:lpstr>Qté_Lames_Trame_P_Lame</vt:lpstr>
      <vt:lpstr>Qté_Lames_Trame_S</vt:lpstr>
      <vt:lpstr>Qté_Lames_Trame_S_Lame</vt:lpstr>
      <vt:lpstr>Qté_Platines_HT</vt:lpstr>
      <vt:lpstr>Qté_poteaux</vt:lpstr>
      <vt:lpstr>Qté_Poteaux_HT</vt:lpstr>
      <vt:lpstr>Qté_Poteaux_posés</vt:lpstr>
      <vt:lpstr>Qté_Toles</vt:lpstr>
      <vt:lpstr>Qté_Toles_HT</vt:lpstr>
      <vt:lpstr>Remplissage</vt:lpstr>
      <vt:lpstr>répartition_lames</vt:lpstr>
      <vt:lpstr>Type_Fixation</vt:lpstr>
      <vt:lpstr>CALCULETTE!Zone_d_impression</vt:lpstr>
      <vt:lpstr>VISUEL!Zone_d_impression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Stephane DEMARET</dc:creator>
  <cp:lastModifiedBy>Stephane DEMARET</cp:lastModifiedBy>
  <cp:lastPrinted>2024-07-30T07:53:07Z</cp:lastPrinted>
  <dcterms:created xsi:type="dcterms:W3CDTF">2011-03-09T16:02:46Z</dcterms:created>
  <dcterms:modified xsi:type="dcterms:W3CDTF">2025-07-28T08:50:39Z</dcterms:modified>
</cp:coreProperties>
</file>